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7"/>
  </bookViews>
  <sheets>
    <sheet name="гу автокран.автовыш " sheetId="1" r:id="rId1"/>
    <sheet name="пневмоузлы " sheetId="2" r:id="rId2"/>
    <sheet name="гу экскав и бульд  " sheetId="3" r:id="rId3"/>
    <sheet name="гу манипулят  " sheetId="4" r:id="rId4"/>
    <sheet name="ГУР авто " sheetId="5" r:id="rId5"/>
    <sheet name="ДВС и ТНВД  с" sheetId="6" r:id="rId6"/>
    <sheet name="шлиф коленвала   " sheetId="7" r:id="rId7"/>
    <sheet name="нестандарт ремонт" sheetId="8" r:id="rId8"/>
  </sheets>
  <definedNames/>
  <calcPr fullCalcOnLoad="1"/>
</workbook>
</file>

<file path=xl/sharedStrings.xml><?xml version="1.0" encoding="utf-8"?>
<sst xmlns="http://schemas.openxmlformats.org/spreadsheetml/2006/main" count="699" uniqueCount="321">
  <si>
    <t>УТВЕРЖДАЮ:</t>
  </si>
  <si>
    <t>Директор</t>
  </si>
  <si>
    <t>Прайс-лист</t>
  </si>
  <si>
    <t>на диагностику и ремонт гидроузлов</t>
  </si>
  <si>
    <t>автокранов и автовышек</t>
  </si>
  <si>
    <t>№ п/п</t>
  </si>
  <si>
    <t>Наименование гидроузлов автокранов и автовышек</t>
  </si>
  <si>
    <t>Стоимость работ без НДС, руб.</t>
  </si>
  <si>
    <t>Стоимость работ с НДС, руб.</t>
  </si>
  <si>
    <t>Примечание</t>
  </si>
  <si>
    <t>Испытание на стенде</t>
  </si>
  <si>
    <t>Ремонт</t>
  </si>
  <si>
    <t>Замена штока</t>
  </si>
  <si>
    <t>Диагностика г/системы КС-3577, КС-45717 и др.</t>
  </si>
  <si>
    <t>Г/распределитель основной КС-3577, КС-3579, КС-45717, КС-35715</t>
  </si>
  <si>
    <t>-</t>
  </si>
  <si>
    <t>Г/распределитель опор КС-3577, КС-3579, КС-45717, КС-35715</t>
  </si>
  <si>
    <t>Гидроклапан-регулятор  940.30</t>
  </si>
  <si>
    <t>Гидрозамок односторонний (опор) КС-3577</t>
  </si>
  <si>
    <t>Клапан обратный управляемый КС-3579</t>
  </si>
  <si>
    <t>Г/насос 310.3.112-04</t>
  </si>
  <si>
    <t>Г/мотор грузовой лебёдки 303.3.112.501</t>
  </si>
  <si>
    <t>Г/мотор механизма поворота 310.3.112.00</t>
  </si>
  <si>
    <t>Кран двухпозиционный</t>
  </si>
  <si>
    <t>Клапан аварийный КС-3579</t>
  </si>
  <si>
    <t>Гидроразмыкатель тормоза</t>
  </si>
  <si>
    <t>Гидроблок уравновешивания механизма подъема КС-45717</t>
  </si>
  <si>
    <t>Блок клапанный механизма поворота КС-45717</t>
  </si>
  <si>
    <t>Соединение вращающее</t>
  </si>
  <si>
    <t>ГИДРОЦИЛИНДРЫ:</t>
  </si>
  <si>
    <t>Опоры КС-3579  (100х80х500)</t>
  </si>
  <si>
    <t>Опоры КС-35717  (125х100х580)</t>
  </si>
  <si>
    <t>Стабилизатора КС-3579  (40х20х100)</t>
  </si>
  <si>
    <t>Выдвижения стрелы КС-3579  (100х80х6000) одноштоковый</t>
  </si>
  <si>
    <t>Выдвижения стрелы КС-45717  (125х100х6000)</t>
  </si>
  <si>
    <t>Подъема стрелы КС-3579  (200х140х1400)</t>
  </si>
  <si>
    <t>Подъема стрелы КС-45717  (220х160х2000)</t>
  </si>
  <si>
    <t>Выдвижения опор КС-3579  (63х40х1000)</t>
  </si>
  <si>
    <t>Выдвижения опор КС-45717  (63х40х1680)</t>
  </si>
  <si>
    <t>Подъема нижнего колена АГП-22*</t>
  </si>
  <si>
    <t>Подъема нижнего колена ВС-22*</t>
  </si>
  <si>
    <t>Подъема среднего колена АГП-22, ВС-22*</t>
  </si>
  <si>
    <t>Подъема люльки АГП-22</t>
  </si>
  <si>
    <t>Подъема стрелы АП-17*</t>
  </si>
  <si>
    <t>Опор АГП-22, ВС-18, АП-17</t>
  </si>
  <si>
    <t>Гидрозамок АГП-22, ВС-22</t>
  </si>
  <si>
    <t>Примечание:</t>
  </si>
  <si>
    <t>1. Ремонт гидроузлов, не перечисленных в данном прайс-листе, производится на индивидуально-договорной основе.</t>
  </si>
  <si>
    <t>2. * В стоимости работ не учтена замена буксы из цветного металла.</t>
  </si>
  <si>
    <t>Выдвижения стрелы КС-3575  (100х80х6000) двухштоковый</t>
  </si>
  <si>
    <t>ОАО "УМС"</t>
  </si>
  <si>
    <t>__________В.А.Козлов</t>
  </si>
  <si>
    <r>
      <t xml:space="preserve">_________________ </t>
    </r>
    <r>
      <rPr>
        <b/>
        <sz val="10"/>
        <rFont val="Arial Cyr"/>
        <family val="0"/>
      </rPr>
      <t>В.А.Козлов</t>
    </r>
  </si>
  <si>
    <t>на ремонт пневмоузлов автомобилей</t>
  </si>
  <si>
    <t>КАМАЗ, МАЗ</t>
  </si>
  <si>
    <t>Наименование пневмоузлов автомобилей КАМАЗ, МАЗ</t>
  </si>
  <si>
    <t>Стоимость работ, руб.                                 (НДС не облагается)</t>
  </si>
  <si>
    <t xml:space="preserve">Стоимость работ без НДС, руб.                                 </t>
  </si>
  <si>
    <t>НДС, руб.</t>
  </si>
  <si>
    <t>Кран стояночный и запасной тормозной системы (ручной тормоз)</t>
  </si>
  <si>
    <t>Кран двухсекционный рабочей тормозной системы</t>
  </si>
  <si>
    <t>Клапан ограничения давления</t>
  </si>
  <si>
    <t>Клапан двойной защиты</t>
  </si>
  <si>
    <t>Клапан тройной защиты</t>
  </si>
  <si>
    <t>Регулятор давления</t>
  </si>
  <si>
    <t>Клапан ускорительный</t>
  </si>
  <si>
    <t>Клапан управления однопроводной тормозной системы</t>
  </si>
  <si>
    <t>Клапан управления двухпроводной тормозной системы прицепа</t>
  </si>
  <si>
    <t>Регулятор тормозных сил</t>
  </si>
  <si>
    <t>Энергоаккумулятор ТИП 20</t>
  </si>
  <si>
    <t>Энергоаккумулятор ТИП 24</t>
  </si>
  <si>
    <t>Пневмогидроусилитель сцепления</t>
  </si>
  <si>
    <t>1. Ремонт пневмоузлов, не перечисленных в данном прайс-листе, производится на индивидуально-договорной основе.</t>
  </si>
  <si>
    <t>С.В.Макаров</t>
  </si>
  <si>
    <t>Главный бухгалтер</t>
  </si>
  <si>
    <t>УТВЕРЖДАЮ</t>
  </si>
  <si>
    <t>экскаваторов и бульдозеров</t>
  </si>
  <si>
    <t>Наименование гидроузлов экскаваторов и бульдозеров</t>
  </si>
  <si>
    <t>Диагностика гидросистемы ЭО-2621,             ЭО-2626</t>
  </si>
  <si>
    <t>ГИДРОНАСОСЫ:</t>
  </si>
  <si>
    <t>223.20</t>
  </si>
  <si>
    <t>223.25  (ЭО-3322)</t>
  </si>
  <si>
    <t>207.32  (ЭО-4121, ЭО-5122, 5124)</t>
  </si>
  <si>
    <t>313.3.55; 313.3.56 (ЭО-3323Б, ЕК-14)</t>
  </si>
  <si>
    <t>313.3.112</t>
  </si>
  <si>
    <t>ГСТ-90</t>
  </si>
  <si>
    <t>НП-90</t>
  </si>
  <si>
    <t>МП-90</t>
  </si>
  <si>
    <t>НШ-100</t>
  </si>
  <si>
    <t>НШ-10, 32, 50</t>
  </si>
  <si>
    <t>ГИДРОМОТОРЫ:</t>
  </si>
  <si>
    <t>210.12; 310.12</t>
  </si>
  <si>
    <t>210.16; 310.2.28</t>
  </si>
  <si>
    <t>310.56; 310.3.56</t>
  </si>
  <si>
    <t>210.25; 310.112</t>
  </si>
  <si>
    <t>210.32; 310.160</t>
  </si>
  <si>
    <t>ГИДРОРАСПРЕДЕЛИТЕЛИ:</t>
  </si>
  <si>
    <t>ГР-520 (ЭО-3323; ЕК-14,18)</t>
  </si>
  <si>
    <t>ГГ-420  (ЭО-3322)</t>
  </si>
  <si>
    <t>Р-75, Р-80  (ЭО-2621)</t>
  </si>
  <si>
    <t>Р-100  (ЭО-2621)</t>
  </si>
  <si>
    <t>Р-200  (ЭО-2621)</t>
  </si>
  <si>
    <t>24.000.000  (ЭО-4121)</t>
  </si>
  <si>
    <t>Блок распределительный: 10.1600.00; 10.1700.00;  10.1800.00 (ЭО-5122, 5124)</t>
  </si>
  <si>
    <t>ГИДРОАППАРАТУРА:</t>
  </si>
  <si>
    <t>Гидроклапан КП20-250; КП32-250</t>
  </si>
  <si>
    <t xml:space="preserve">Клапан противообгонный (ЭО-3322; ЕК-14) </t>
  </si>
  <si>
    <t>ПГА 640.20</t>
  </si>
  <si>
    <t>Блок управления (пульт)</t>
  </si>
  <si>
    <t>Коллектор центральный</t>
  </si>
  <si>
    <t>Насос-дозатор (гидроруль) НДМ-80 и др.</t>
  </si>
  <si>
    <t>ЭО-2621:</t>
  </si>
  <si>
    <t>Стрелы  110х56х1120</t>
  </si>
  <si>
    <t>Рукояти, ковша 80х56х900</t>
  </si>
  <si>
    <t>Поворота  110х56х140</t>
  </si>
  <si>
    <t>Поворота (цепной)  80х56х400</t>
  </si>
  <si>
    <t>Опор  110х56х280</t>
  </si>
  <si>
    <t>Отвала  80х56х280</t>
  </si>
  <si>
    <t>Погрузчика ЭО-2626  80х56х360</t>
  </si>
  <si>
    <t>ЭО-3322:</t>
  </si>
  <si>
    <t>Опор  125х80х1000</t>
  </si>
  <si>
    <t>Рукояти  140х90х1250</t>
  </si>
  <si>
    <t>Ковша  140х90х800</t>
  </si>
  <si>
    <t>Стрелы  140х80х1000</t>
  </si>
  <si>
    <t>Поворота колес</t>
  </si>
  <si>
    <t>ЭО-3323:</t>
  </si>
  <si>
    <t>Стрелы  140х90х1000</t>
  </si>
  <si>
    <t>Рукояти  125х80х1300</t>
  </si>
  <si>
    <t>Ковша  125х80х1000</t>
  </si>
  <si>
    <t>Опор  125х80х400</t>
  </si>
  <si>
    <t>Отвала  100х63х280</t>
  </si>
  <si>
    <t>ЕК-14:</t>
  </si>
  <si>
    <t>Стрелы  110х70х1100</t>
  </si>
  <si>
    <t>Рукояти  125х80х1100</t>
  </si>
  <si>
    <t>Ковша  110х70х900</t>
  </si>
  <si>
    <t>Отвала 100х63х280</t>
  </si>
  <si>
    <t>Опор  125х63х400</t>
  </si>
  <si>
    <t>ЭО-4121:</t>
  </si>
  <si>
    <t>Рукояти  140х90х1400</t>
  </si>
  <si>
    <t>Ковша  140х90х1000</t>
  </si>
  <si>
    <t>Стрелы  140х90х1250</t>
  </si>
  <si>
    <t>Бульдозеры:</t>
  </si>
  <si>
    <t>Отвала ДТ-75  80х50х1000</t>
  </si>
  <si>
    <t>Отвала Т-130  100х60х800</t>
  </si>
  <si>
    <t>Погрузчика ТО-18  125х60х650</t>
  </si>
  <si>
    <t>на диагностику и ремонт гидроузлов манипуляторов</t>
  </si>
  <si>
    <t>Наименование гидроузлов манипуляторов</t>
  </si>
  <si>
    <t>Диагностика гидросистемы</t>
  </si>
  <si>
    <t>Г/насос 310…56</t>
  </si>
  <si>
    <t>Г/насос 310…112</t>
  </si>
  <si>
    <t>Г/распределитель РМ-12.06 (основной)</t>
  </si>
  <si>
    <t>Г/распределитель РМ-12.02 (аутригеров)</t>
  </si>
  <si>
    <t>Г/распределители импортного производства</t>
  </si>
  <si>
    <t>Г/замок гидроцилиндра</t>
  </si>
  <si>
    <t>Ротатор</t>
  </si>
  <si>
    <t>Захвата ПЛ-70 80х50х321</t>
  </si>
  <si>
    <t>Захвата МУГ-70 100х63х320</t>
  </si>
  <si>
    <t>Рукояти ПЛ-70.01 80х63х1000</t>
  </si>
  <si>
    <t>Рукояти ПЛ-70.02 125х63х800</t>
  </si>
  <si>
    <t>Рукояти МУГ-70 125х63х720</t>
  </si>
  <si>
    <t>Стрелы МУГ-70  125х80х720</t>
  </si>
  <si>
    <t>Стрелы ПЛ-70  125х80х800</t>
  </si>
  <si>
    <t>Стрелы ЛВ-185  140х80х800</t>
  </si>
  <si>
    <t>Удлинителя МУГ-70  80х50х1000</t>
  </si>
  <si>
    <t>Удлинителя ПЛ-70  63х40х1200</t>
  </si>
  <si>
    <t>Аутригера ПЛ-70  80х63х560</t>
  </si>
  <si>
    <t>Аутригера МУГ-70  80х63х425</t>
  </si>
  <si>
    <t>Аутригера ЛВ-185 100х63х600</t>
  </si>
  <si>
    <t>ОПУ (поворота) Ø 100</t>
  </si>
  <si>
    <t>на диагностику и ремонт гидроусилителей</t>
  </si>
  <si>
    <t>рулевого управления автомобилей</t>
  </si>
  <si>
    <t>Наименование гидроусилителей рулевого управления автомобилей</t>
  </si>
  <si>
    <t xml:space="preserve">Стоимость работ без НДС, руб.                                </t>
  </si>
  <si>
    <t>Гидроусилитель руля а/м КамАЗ</t>
  </si>
  <si>
    <t>Насос гидроусилителя руля а/м КамАЗ</t>
  </si>
  <si>
    <t>Гидроусилитель руля а/м  МАЗ (старого образца)</t>
  </si>
  <si>
    <t>Насос гидроусилителя руля а/м МАЗ (НШ-32 с клапаном)</t>
  </si>
  <si>
    <t>Гидроусилитель руля а/м  ЗИЛ</t>
  </si>
  <si>
    <t>Насос гидроусилителя руля а/м ЗИЛ</t>
  </si>
  <si>
    <t>Гидроусилитель руля а/м  УРАЛ</t>
  </si>
  <si>
    <t>Гидроусилитель руля а/м  УАЗ</t>
  </si>
  <si>
    <t>Гидроусилитель руля а/м  ГАЗ (Волга, Соболь, Баргузин)</t>
  </si>
  <si>
    <t>Гидроусилитель руля а/м  ГАЗ (Волга, Соболь, Баргузин) включая монтаж-демонтаж</t>
  </si>
  <si>
    <t>Насос гидроусилителя руля а/м (ГАЗ; УАЗ) без демонтажа</t>
  </si>
  <si>
    <t>Гидроусилитель руля ЮМЗ-6</t>
  </si>
  <si>
    <t>Гидроусилитель руля МТЗ</t>
  </si>
  <si>
    <t>Гидроусилитель руля Т-40</t>
  </si>
  <si>
    <t>Гидродомкрат 3т</t>
  </si>
  <si>
    <t>Гидродомкрат 5т</t>
  </si>
  <si>
    <t>Гидродомкрат 8т</t>
  </si>
  <si>
    <t>Гидродомкрат 12т</t>
  </si>
  <si>
    <t>Гидродомкрат подкатной 3т</t>
  </si>
  <si>
    <t>Гидродомкрат подкатной 5т</t>
  </si>
  <si>
    <t>Гидродомкрат подкатной 10т</t>
  </si>
  <si>
    <t>1. Ремонт гидроусилителей рулевого управления автомобилей, не перечисленных в данном прайс-листе, производится на индивидуально-договорной основе.</t>
  </si>
  <si>
    <t>на диагностику и ремонт ДВС и ТНВД</t>
  </si>
  <si>
    <t xml:space="preserve">Наименование </t>
  </si>
  <si>
    <t>Стоимость ремонта без НДС, руб.</t>
  </si>
  <si>
    <t>ДВИГАТЕЛИ:</t>
  </si>
  <si>
    <t>Д-240, Д-37, Д-144, Д-65</t>
  </si>
  <si>
    <t>СМД -14, 18, 20, 22</t>
  </si>
  <si>
    <t>А-41, Д-440</t>
  </si>
  <si>
    <t>А-01</t>
  </si>
  <si>
    <t>ЯМЗ-236</t>
  </si>
  <si>
    <t>ЯМЗ-238</t>
  </si>
  <si>
    <t>КамАЗ</t>
  </si>
  <si>
    <t>Д-160, Д-180</t>
  </si>
  <si>
    <t>ЗИЛ-130</t>
  </si>
  <si>
    <t>ГАЗ-53</t>
  </si>
  <si>
    <t>ПД-10</t>
  </si>
  <si>
    <t>П-46</t>
  </si>
  <si>
    <t>ТНВД:</t>
  </si>
  <si>
    <t>УТН-5</t>
  </si>
  <si>
    <t>СМД -14, 18, 20, 22; А-41</t>
  </si>
  <si>
    <t>ГОЛОВКА БЛОКА:</t>
  </si>
  <si>
    <t>Д-240,  Д-65</t>
  </si>
  <si>
    <t>ЗМЗ-24</t>
  </si>
  <si>
    <t>МУФТА СЦЕПЛЕНИЯ:</t>
  </si>
  <si>
    <t>А-41, А-01</t>
  </si>
  <si>
    <t>Замена накладок ведомых дисков:</t>
  </si>
  <si>
    <t>Д-240,  Д-65, СМД</t>
  </si>
  <si>
    <t>ЗИЛ-130, ГАЗ-53</t>
  </si>
  <si>
    <t>* - в стоимость ремонта не включена стоимость материалов</t>
  </si>
  <si>
    <t>ПРАЙС - ЛИСТ</t>
  </si>
  <si>
    <t>на шлифовку коленчатых валов</t>
  </si>
  <si>
    <t>Марка двигателя ( машины )</t>
  </si>
  <si>
    <t>Стоимость без НДС, руб.</t>
  </si>
  <si>
    <t>ВАЗ</t>
  </si>
  <si>
    <t>ГАЗ-24, ГАЗ-69</t>
  </si>
  <si>
    <t>А-41</t>
  </si>
  <si>
    <t>СМД 14, 18, 20, 22</t>
  </si>
  <si>
    <t>КАМАЗ</t>
  </si>
  <si>
    <t>Д-160, Д-108</t>
  </si>
  <si>
    <t>стоимость шлифовки коренных шеек = 1/2 общей стоимости</t>
  </si>
  <si>
    <t>стоимость шлифовки шатунных шеек = 1/2 общей стоимости</t>
  </si>
  <si>
    <t>срочность работ - 30% от стоимости шлифовки</t>
  </si>
  <si>
    <t>___________В.А.Козлов</t>
  </si>
  <si>
    <t>01 января 2008г.</t>
  </si>
  <si>
    <r>
      <t>_________________</t>
    </r>
    <r>
      <rPr>
        <b/>
        <sz val="10"/>
        <rFont val="Arial Cyr"/>
        <family val="0"/>
      </rPr>
      <t xml:space="preserve"> Большов А.Е.</t>
    </r>
  </si>
  <si>
    <t xml:space="preserve">1. </t>
  </si>
  <si>
    <t xml:space="preserve">Главный бухгалтер </t>
  </si>
  <si>
    <t>Генеральный директор</t>
  </si>
  <si>
    <t>ОАО "Управление механизации строительства"</t>
  </si>
  <si>
    <r>
      <t>_________________</t>
    </r>
    <r>
      <rPr>
        <b/>
        <sz val="9"/>
        <rFont val="Arial Cyr"/>
        <family val="0"/>
      </rPr>
      <t xml:space="preserve"> Козлов В.А.</t>
    </r>
  </si>
  <si>
    <t>Стоимость работ,   руб. (с НДС 18%)</t>
  </si>
  <si>
    <t>______________Козлов В.А.</t>
  </si>
  <si>
    <t>1 мая 2013 г.</t>
  </si>
  <si>
    <t>Стоимость работ, руб. (в том числе НДС 18%)</t>
  </si>
  <si>
    <t>Зуева Г.Ф.</t>
  </si>
  <si>
    <t>Стоимость работ, руб.                           (в том числе НДС 18%)</t>
  </si>
  <si>
    <t>Диагностика гидросистемы ЭО-3322, ЭО- 3323; ЕК-12,14,18; ДЭМ</t>
  </si>
  <si>
    <t>_________________Козлов В.А.</t>
  </si>
  <si>
    <r>
      <t>_________________</t>
    </r>
    <r>
      <rPr>
        <b/>
        <sz val="10"/>
        <rFont val="Arial Cyr"/>
        <family val="0"/>
      </rPr>
      <t>Козлов В.А.</t>
    </r>
  </si>
  <si>
    <t>Козлов В.А</t>
  </si>
  <si>
    <t>________________ Козлов В.А.</t>
  </si>
  <si>
    <t>Стоимость ремонта,  руб.  (в том числе НДС 18%)</t>
  </si>
  <si>
    <t>Стоимость, руб.                                          (в том числе НДС 18%)</t>
  </si>
  <si>
    <t>Валиева Е.В.</t>
  </si>
  <si>
    <t>1 декабря 2013 г.</t>
  </si>
  <si>
    <t>01 декабря 2013г</t>
  </si>
  <si>
    <t xml:space="preserve">Примечание </t>
  </si>
  <si>
    <t>3. Стоимость 1 ремонтного места в боксе  1000 рублей с НДС в сутки.</t>
  </si>
  <si>
    <t>10 февраля 2014г</t>
  </si>
  <si>
    <t>2. Стоимость одного ремонтного места в боксе - 1000 рублей с НДС в сутки.</t>
  </si>
  <si>
    <t>10 февраля 2014 г.</t>
  </si>
  <si>
    <t>2. Стоимость 1 ремонтного места в боксе 1000 рублей с НДС в сутки.</t>
  </si>
  <si>
    <t>Главный бухгалтер                   Валиева Е.В.</t>
  </si>
  <si>
    <t>2. Стоимость одного ремонтного места в боксе 1000 рублей с НДС в сутки.</t>
  </si>
  <si>
    <t>1. Стоимость одного ремонтного места в боксе 1000 рублей с НДС в сутки.</t>
  </si>
  <si>
    <t>п/п</t>
  </si>
  <si>
    <t>_____________________Козлов В.А.</t>
  </si>
  <si>
    <t>ОАО "Управление  механизации строительства"</t>
  </si>
  <si>
    <t>ОАО "Управление и механизации строительства"</t>
  </si>
  <si>
    <t>Р-150</t>
  </si>
  <si>
    <t>Разборка распределителя</t>
  </si>
  <si>
    <t>Дефектовка</t>
  </si>
  <si>
    <t>Замена р/к</t>
  </si>
  <si>
    <t>Сборка распределителя</t>
  </si>
  <si>
    <t>Стоимость ремонта,  руб.</t>
  </si>
  <si>
    <t>Разборка Гура</t>
  </si>
  <si>
    <t>Дефектовка Гура</t>
  </si>
  <si>
    <t>Сборка Гура</t>
  </si>
  <si>
    <t>__________________Козлов В.А.</t>
  </si>
  <si>
    <t>(без стоимости запчастей)</t>
  </si>
  <si>
    <t>Диагностика и регулировка редуктора-вращателя Ямобур БКМ-317</t>
  </si>
  <si>
    <t>Проточка тормозных накладок на автомашину КАМАЗ</t>
  </si>
  <si>
    <t xml:space="preserve">на выполнение и диагностических и ремотных работ </t>
  </si>
  <si>
    <t>Замена ремкомплекта Гура</t>
  </si>
  <si>
    <t>Ремонт электродвигателя 4МТМ 2251.6У1 от КБ 408.21</t>
  </si>
  <si>
    <t>Снятие передней крышки</t>
  </si>
  <si>
    <t xml:space="preserve">Замена  кольца </t>
  </si>
  <si>
    <t>Замена  сальника</t>
  </si>
  <si>
    <t>Сборка</t>
  </si>
  <si>
    <t>Проверка сальника на текучесть</t>
  </si>
  <si>
    <t>Гидроусилитель руля а/м  МАЗ, КАМАЗ Евро (нового образца)</t>
  </si>
  <si>
    <t>Снятие крышки</t>
  </si>
  <si>
    <t>Замена сальника</t>
  </si>
  <si>
    <t>Р-160  (ДТ-75, Т-100; 130) с демонтажом</t>
  </si>
  <si>
    <t>Демонтаж</t>
  </si>
  <si>
    <t>Монтаж</t>
  </si>
  <si>
    <t>Разборка цилиндра стрелы</t>
  </si>
  <si>
    <t xml:space="preserve">Дефектовка </t>
  </si>
  <si>
    <t xml:space="preserve">Замена р/к </t>
  </si>
  <si>
    <t xml:space="preserve">Сборка </t>
  </si>
  <si>
    <t>Разборка цилиндра опоры</t>
  </si>
  <si>
    <t>опоры КС-3579  (100х80х500)</t>
  </si>
  <si>
    <t>Разборка насоса Гура</t>
  </si>
  <si>
    <t>Замена запчастей</t>
  </si>
  <si>
    <t>01 мая 2017г.</t>
  </si>
  <si>
    <t>с 1 мая  2017 года</t>
  </si>
  <si>
    <t>10 февраля 2017г</t>
  </si>
  <si>
    <t>с 10 февраля 2017 года</t>
  </si>
  <si>
    <t>1 мая 2017 г.</t>
  </si>
  <si>
    <t>с 1 мая 2017 года</t>
  </si>
  <si>
    <t>10 февраля 2017 г</t>
  </si>
  <si>
    <t>с 10 февраля 2017 г.</t>
  </si>
  <si>
    <t>01 мая 2017 г</t>
  </si>
  <si>
    <t>с 1 мая 2017 г.</t>
  </si>
  <si>
    <t>10 февраля  2017г.</t>
  </si>
  <si>
    <t>с  1 мая 2017 года</t>
  </si>
  <si>
    <t>01 мая  2017г.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</si>
</sst>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5">
    <font>
      <sz val="10"/>
      <name val="Arial"/>
      <family val="0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0"/>
    </font>
    <font>
      <sz val="9"/>
      <color indexed="9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sz val="11"/>
      <color indexed="9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33" borderId="0" xfId="55" applyFont="1" applyFill="1" applyBorder="1" applyAlignment="1">
      <alignment horizontal="right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1" xfId="55" applyFont="1" applyFill="1" applyBorder="1" applyAlignment="1">
      <alignment horizontal="center" vertical="center" wrapText="1"/>
      <protection/>
    </xf>
    <xf numFmtId="0" fontId="2" fillId="34" borderId="12" xfId="55" applyFont="1" applyFill="1" applyBorder="1" applyAlignment="1">
      <alignment horizontal="center" vertical="center" wrapText="1"/>
      <protection/>
    </xf>
    <xf numFmtId="0" fontId="2" fillId="33" borderId="0" xfId="55" applyFont="1" applyFill="1" applyAlignment="1">
      <alignment horizontal="center" vertical="center" wrapText="1"/>
      <protection/>
    </xf>
    <xf numFmtId="0" fontId="2" fillId="33" borderId="0" xfId="55" applyFont="1" applyFill="1" applyAlignment="1">
      <alignment horizontal="left" vertical="center" wrapText="1"/>
      <protection/>
    </xf>
    <xf numFmtId="0" fontId="2" fillId="33" borderId="0" xfId="55" applyFont="1" applyFill="1" applyAlignment="1">
      <alignment horizontal="left" vertical="center" indent="4"/>
      <protection/>
    </xf>
    <xf numFmtId="0" fontId="2" fillId="33" borderId="0" xfId="55" applyFont="1" applyFill="1" applyAlignment="1">
      <alignment horizontal="center"/>
      <protection/>
    </xf>
    <xf numFmtId="0" fontId="2" fillId="0" borderId="0" xfId="55" applyFont="1" applyFill="1">
      <alignment/>
      <protection/>
    </xf>
    <xf numFmtId="0" fontId="2" fillId="0" borderId="0" xfId="55" applyFont="1">
      <alignment/>
      <protection/>
    </xf>
    <xf numFmtId="0" fontId="2" fillId="0" borderId="10" xfId="55" applyFont="1" applyBorder="1" applyAlignment="1">
      <alignment horizontal="center" vertical="center" wrapText="1"/>
      <protection/>
    </xf>
    <xf numFmtId="4" fontId="3" fillId="0" borderId="10" xfId="55" applyNumberFormat="1" applyFont="1" applyBorder="1" applyAlignment="1">
      <alignment horizontal="center" vertical="center"/>
      <protection/>
    </xf>
    <xf numFmtId="3" fontId="3" fillId="0" borderId="13" xfId="55" applyNumberFormat="1" applyFont="1" applyBorder="1" applyAlignment="1">
      <alignment horizontal="center" vertical="center"/>
      <protection/>
    </xf>
    <xf numFmtId="3" fontId="3" fillId="0" borderId="10" xfId="55" applyNumberFormat="1" applyFont="1" applyBorder="1" applyAlignment="1">
      <alignment horizontal="center" vertical="center"/>
      <protection/>
    </xf>
    <xf numFmtId="3" fontId="3" fillId="0" borderId="14" xfId="55" applyNumberFormat="1" applyFont="1" applyBorder="1" applyAlignment="1">
      <alignment horizontal="center" vertical="center"/>
      <protection/>
    </xf>
    <xf numFmtId="0" fontId="2" fillId="0" borderId="10" xfId="55" applyFont="1" applyBorder="1">
      <alignment/>
      <protection/>
    </xf>
    <xf numFmtId="0" fontId="2" fillId="0" borderId="14" xfId="55" applyFont="1" applyBorder="1" applyAlignment="1">
      <alignment horizontal="left" vertical="center" wrapText="1"/>
      <protection/>
    </xf>
    <xf numFmtId="4" fontId="2" fillId="0" borderId="13" xfId="55" applyNumberFormat="1" applyFont="1" applyBorder="1" applyAlignment="1">
      <alignment horizontal="center" vertical="center"/>
      <protection/>
    </xf>
    <xf numFmtId="4" fontId="2" fillId="0" borderId="14" xfId="55" applyNumberFormat="1" applyFont="1" applyBorder="1" applyAlignment="1">
      <alignment horizontal="center" vertical="center"/>
      <protection/>
    </xf>
    <xf numFmtId="4" fontId="2" fillId="0" borderId="10" xfId="55" applyNumberFormat="1" applyFont="1" applyBorder="1" applyAlignment="1">
      <alignment horizontal="center" vertical="center"/>
      <protection/>
    </xf>
    <xf numFmtId="3" fontId="2" fillId="0" borderId="10" xfId="55" applyNumberFormat="1" applyFont="1" applyBorder="1" applyAlignment="1">
      <alignment horizontal="center" vertical="center"/>
      <protection/>
    </xf>
    <xf numFmtId="4" fontId="2" fillId="0" borderId="10" xfId="55" applyNumberFormat="1" applyFont="1" applyBorder="1" applyAlignment="1">
      <alignment horizontal="center" vertical="center"/>
      <protection/>
    </xf>
    <xf numFmtId="3" fontId="2" fillId="0" borderId="13" xfId="55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 wrapText="1"/>
      <protection/>
    </xf>
    <xf numFmtId="3" fontId="2" fillId="0" borderId="14" xfId="55" applyNumberFormat="1" applyFont="1" applyBorder="1" applyAlignment="1">
      <alignment horizontal="center" vertical="center"/>
      <protection/>
    </xf>
    <xf numFmtId="3" fontId="2" fillId="0" borderId="15" xfId="55" applyNumberFormat="1" applyFont="1" applyBorder="1" applyAlignment="1">
      <alignment horizontal="center" vertical="center"/>
      <protection/>
    </xf>
    <xf numFmtId="3" fontId="2" fillId="0" borderId="16" xfId="55" applyNumberFormat="1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center" wrapText="1"/>
      <protection/>
    </xf>
    <xf numFmtId="0" fontId="2" fillId="0" borderId="0" xfId="55" applyFont="1" applyAlignment="1">
      <alignment horizontal="left" wrapText="1" indent="8"/>
      <protection/>
    </xf>
    <xf numFmtId="0" fontId="2" fillId="0" borderId="0" xfId="55" applyFont="1" applyBorder="1" applyAlignment="1">
      <alignment horizontal="left" wrapText="1"/>
      <protection/>
    </xf>
    <xf numFmtId="0" fontId="2" fillId="0" borderId="0" xfId="55" applyFont="1" applyAlignment="1">
      <alignment/>
      <protection/>
    </xf>
    <xf numFmtId="0" fontId="2" fillId="0" borderId="0" xfId="55" applyFont="1" applyAlignment="1">
      <alignment horizontal="left" vertical="center" wrapText="1" indent="8"/>
      <protection/>
    </xf>
    <xf numFmtId="0" fontId="4" fillId="0" borderId="0" xfId="0" applyFont="1" applyAlignment="1">
      <alignment/>
    </xf>
    <xf numFmtId="0" fontId="1" fillId="33" borderId="0" xfId="55" applyFill="1" applyAlignment="1">
      <alignment horizontal="center" vertical="center" wrapText="1"/>
      <protection/>
    </xf>
    <xf numFmtId="0" fontId="1" fillId="33" borderId="0" xfId="55" applyFill="1" applyAlignment="1">
      <alignment horizontal="left" vertical="center" wrapText="1"/>
      <protection/>
    </xf>
    <xf numFmtId="0" fontId="6" fillId="33" borderId="0" xfId="55" applyFont="1" applyFill="1" applyAlignment="1">
      <alignment horizontal="left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55" applyAlignment="1">
      <alignment horizontal="left" vertical="center" wrapText="1"/>
      <protection/>
    </xf>
    <xf numFmtId="0" fontId="1" fillId="0" borderId="0" xfId="55" applyAlignment="1">
      <alignment/>
      <protection/>
    </xf>
    <xf numFmtId="0" fontId="1" fillId="33" borderId="0" xfId="55" applyFont="1" applyFill="1" applyAlignment="1">
      <alignment horizontal="left" vertical="center"/>
      <protection/>
    </xf>
    <xf numFmtId="0" fontId="1" fillId="33" borderId="0" xfId="55" applyFill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55">
      <alignment/>
      <protection/>
    </xf>
    <xf numFmtId="0" fontId="1" fillId="0" borderId="10" xfId="55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left" vertical="center" wrapText="1"/>
      <protection/>
    </xf>
    <xf numFmtId="3" fontId="1" fillId="0" borderId="10" xfId="55" applyNumberFormat="1" applyBorder="1" applyAlignment="1">
      <alignment horizontal="center" vertical="center"/>
      <protection/>
    </xf>
    <xf numFmtId="2" fontId="1" fillId="0" borderId="10" xfId="55" applyNumberFormat="1" applyBorder="1" applyAlignment="1">
      <alignment horizontal="center" vertical="center"/>
      <protection/>
    </xf>
    <xf numFmtId="0" fontId="1" fillId="0" borderId="0" xfId="55" applyAlignment="1">
      <alignment horizontal="center"/>
      <protection/>
    </xf>
    <xf numFmtId="0" fontId="1" fillId="0" borderId="0" xfId="55" applyFont="1" applyAlignment="1">
      <alignment horizontal="center" vertical="center" wrapText="1"/>
      <protection/>
    </xf>
    <xf numFmtId="0" fontId="1" fillId="0" borderId="0" xfId="55" applyFont="1">
      <alignment/>
      <protection/>
    </xf>
    <xf numFmtId="0" fontId="6" fillId="0" borderId="0" xfId="55" applyFont="1" applyAlignment="1">
      <alignment horizontal="left" vertical="center" wrapText="1"/>
      <protection/>
    </xf>
    <xf numFmtId="0" fontId="1" fillId="0" borderId="0" xfId="55" applyAlignment="1">
      <alignment horizontal="center" vertical="center" wrapText="1"/>
      <protection/>
    </xf>
    <xf numFmtId="0" fontId="1" fillId="33" borderId="0" xfId="55" applyFill="1" applyAlignment="1">
      <alignment horizontal="left" vertical="center" indent="6"/>
      <protection/>
    </xf>
    <xf numFmtId="0" fontId="1" fillId="33" borderId="0" xfId="55" applyFont="1" applyFill="1" applyAlignment="1">
      <alignment horizontal="left" vertical="center" indent="4"/>
      <protection/>
    </xf>
    <xf numFmtId="0" fontId="1" fillId="0" borderId="0" xfId="55" applyFill="1">
      <alignment/>
      <protection/>
    </xf>
    <xf numFmtId="0" fontId="10" fillId="0" borderId="0" xfId="55" applyFont="1">
      <alignment/>
      <protection/>
    </xf>
    <xf numFmtId="0" fontId="1" fillId="0" borderId="0" xfId="55" applyFont="1" applyAlignment="1">
      <alignment horizontal="left" indent="1"/>
      <protection/>
    </xf>
    <xf numFmtId="0" fontId="1" fillId="0" borderId="0" xfId="53" applyFont="1" applyAlignment="1">
      <alignment horizontal="left" vertical="center" wrapText="1"/>
      <protection/>
    </xf>
    <xf numFmtId="0" fontId="11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4" fontId="6" fillId="0" borderId="10" xfId="55" applyNumberFormat="1" applyFont="1" applyBorder="1" applyAlignment="1">
      <alignment horizontal="center" vertical="center"/>
      <protection/>
    </xf>
    <xf numFmtId="4" fontId="6" fillId="0" borderId="10" xfId="55" applyNumberFormat="1" applyFont="1" applyBorder="1" applyAlignment="1">
      <alignment horizontal="center" vertical="center"/>
      <protection/>
    </xf>
    <xf numFmtId="3" fontId="6" fillId="0" borderId="13" xfId="55" applyNumberFormat="1" applyFont="1" applyBorder="1" applyAlignment="1">
      <alignment horizontal="center" vertical="center"/>
      <protection/>
    </xf>
    <xf numFmtId="3" fontId="6" fillId="0" borderId="10" xfId="55" applyNumberFormat="1" applyFont="1" applyBorder="1" applyAlignment="1">
      <alignment horizontal="center" vertical="center"/>
      <protection/>
    </xf>
    <xf numFmtId="0" fontId="6" fillId="0" borderId="10" xfId="55" applyFont="1" applyBorder="1">
      <alignment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 wrapText="1"/>
      <protection/>
    </xf>
    <xf numFmtId="4" fontId="1" fillId="0" borderId="10" xfId="55" applyNumberFormat="1" applyFont="1" applyBorder="1" applyAlignment="1">
      <alignment horizontal="center" vertical="center"/>
      <protection/>
    </xf>
    <xf numFmtId="4" fontId="1" fillId="0" borderId="10" xfId="55" applyNumberFormat="1" applyFont="1" applyBorder="1" applyAlignment="1">
      <alignment horizontal="center" vertical="center"/>
      <protection/>
    </xf>
    <xf numFmtId="0" fontId="1" fillId="0" borderId="10" xfId="55" applyBorder="1">
      <alignment/>
      <protection/>
    </xf>
    <xf numFmtId="0" fontId="1" fillId="0" borderId="14" xfId="55" applyFont="1" applyBorder="1" applyAlignment="1">
      <alignment horizontal="left" vertical="center" wrapText="1"/>
      <protection/>
    </xf>
    <xf numFmtId="4" fontId="1" fillId="0" borderId="14" xfId="55" applyNumberFormat="1" applyFont="1" applyBorder="1" applyAlignment="1">
      <alignment horizontal="center" vertical="center"/>
      <protection/>
    </xf>
    <xf numFmtId="3" fontId="1" fillId="0" borderId="13" xfId="55" applyNumberFormat="1" applyBorder="1" applyAlignment="1">
      <alignment horizontal="center" vertical="center"/>
      <protection/>
    </xf>
    <xf numFmtId="3" fontId="1" fillId="0" borderId="14" xfId="55" applyNumberFormat="1" applyBorder="1" applyAlignment="1">
      <alignment horizontal="center" vertical="center"/>
      <protection/>
    </xf>
    <xf numFmtId="3" fontId="1" fillId="0" borderId="15" xfId="55" applyNumberFormat="1" applyBorder="1" applyAlignment="1">
      <alignment horizontal="center" vertical="center"/>
      <protection/>
    </xf>
    <xf numFmtId="3" fontId="1" fillId="0" borderId="16" xfId="55" applyNumberFormat="1" applyBorder="1" applyAlignment="1">
      <alignment horizontal="center" vertical="center"/>
      <protection/>
    </xf>
    <xf numFmtId="0" fontId="1" fillId="0" borderId="0" xfId="55" applyFont="1" applyAlignment="1">
      <alignment horizontal="left" wrapText="1" indent="8"/>
      <protection/>
    </xf>
    <xf numFmtId="0" fontId="1" fillId="0" borderId="0" xfId="55" applyAlignment="1">
      <alignment horizontal="left" vertical="center" wrapText="1" indent="8"/>
      <protection/>
    </xf>
    <xf numFmtId="0" fontId="1" fillId="0" borderId="0" xfId="55" applyAlignment="1">
      <alignment horizontal="left" indent="1"/>
      <protection/>
    </xf>
    <xf numFmtId="0" fontId="1" fillId="33" borderId="0" xfId="55" applyFont="1" applyFill="1" applyAlignment="1">
      <alignment horizontal="left" vertical="center" indent="6"/>
      <protection/>
    </xf>
    <xf numFmtId="0" fontId="1" fillId="0" borderId="0" xfId="55" applyFill="1" applyBorder="1">
      <alignment/>
      <protection/>
    </xf>
    <xf numFmtId="0" fontId="12" fillId="0" borderId="0" xfId="55" applyFont="1">
      <alignment/>
      <protection/>
    </xf>
    <xf numFmtId="0" fontId="6" fillId="0" borderId="10" xfId="55" applyFont="1" applyBorder="1" applyAlignment="1">
      <alignment horizontal="left" vertical="center" wrapText="1"/>
      <protection/>
    </xf>
    <xf numFmtId="4" fontId="6" fillId="0" borderId="12" xfId="55" applyNumberFormat="1" applyFont="1" applyBorder="1" applyAlignment="1">
      <alignment horizontal="center" vertical="center"/>
      <protection/>
    </xf>
    <xf numFmtId="4" fontId="1" fillId="0" borderId="12" xfId="55" applyNumberFormat="1" applyBorder="1" applyAlignment="1">
      <alignment horizontal="center" vertical="center"/>
      <protection/>
    </xf>
    <xf numFmtId="3" fontId="1" fillId="0" borderId="12" xfId="55" applyNumberFormat="1" applyBorder="1" applyAlignment="1">
      <alignment horizontal="center" vertical="center"/>
      <protection/>
    </xf>
    <xf numFmtId="4" fontId="1" fillId="0" borderId="10" xfId="55" applyNumberFormat="1" applyBorder="1" applyAlignment="1">
      <alignment horizontal="center" vertical="center"/>
      <protection/>
    </xf>
    <xf numFmtId="3" fontId="6" fillId="0" borderId="14" xfId="55" applyNumberFormat="1" applyFont="1" applyBorder="1" applyAlignment="1">
      <alignment horizontal="center" vertical="center" wrapText="1"/>
      <protection/>
    </xf>
    <xf numFmtId="3" fontId="6" fillId="0" borderId="10" xfId="55" applyNumberFormat="1" applyFont="1" applyBorder="1" applyAlignment="1">
      <alignment horizontal="center" vertical="center" wrapText="1"/>
      <protection/>
    </xf>
    <xf numFmtId="2" fontId="1" fillId="0" borderId="10" xfId="55" applyNumberFormat="1" applyFill="1" applyBorder="1" applyAlignment="1">
      <alignment horizontal="center" vertical="center"/>
      <protection/>
    </xf>
    <xf numFmtId="2" fontId="1" fillId="0" borderId="10" xfId="55" applyNumberFormat="1" applyFont="1" applyBorder="1" applyAlignment="1">
      <alignment horizontal="center" vertical="center"/>
      <protection/>
    </xf>
    <xf numFmtId="0" fontId="1" fillId="0" borderId="0" xfId="55" applyFont="1" applyAlignment="1">
      <alignment/>
      <protection/>
    </xf>
    <xf numFmtId="0" fontId="1" fillId="33" borderId="0" xfId="53" applyFill="1" applyAlignment="1">
      <alignment horizontal="center" vertical="center" wrapText="1"/>
      <protection/>
    </xf>
    <xf numFmtId="0" fontId="1" fillId="33" borderId="0" xfId="53" applyFill="1" applyAlignment="1">
      <alignment horizontal="left" vertical="center" wrapText="1"/>
      <protection/>
    </xf>
    <xf numFmtId="0" fontId="2" fillId="33" borderId="0" xfId="53" applyFont="1" applyFill="1" applyBorder="1" applyAlignment="1">
      <alignment horizontal="right" vertical="center" wrapText="1"/>
      <protection/>
    </xf>
    <xf numFmtId="0" fontId="5" fillId="33" borderId="0" xfId="53" applyFont="1" applyFill="1" applyBorder="1" applyAlignment="1">
      <alignment horizontal="right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vertical="center" wrapText="1"/>
      <protection/>
    </xf>
    <xf numFmtId="0" fontId="1" fillId="0" borderId="14" xfId="53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3" fontId="1" fillId="0" borderId="18" xfId="53" applyNumberFormat="1" applyBorder="1" applyAlignment="1">
      <alignment horizontal="center" vertical="center"/>
      <protection/>
    </xf>
    <xf numFmtId="4" fontId="1" fillId="0" borderId="12" xfId="53" applyNumberFormat="1" applyBorder="1" applyAlignment="1">
      <alignment horizontal="center" vertical="center"/>
      <protection/>
    </xf>
    <xf numFmtId="3" fontId="1" fillId="0" borderId="12" xfId="53" applyNumberFormat="1" applyBorder="1" applyAlignment="1">
      <alignment horizontal="center" vertical="center"/>
      <protection/>
    </xf>
    <xf numFmtId="3" fontId="6" fillId="0" borderId="13" xfId="53" applyNumberFormat="1" applyFont="1" applyBorder="1" applyAlignment="1">
      <alignment horizontal="center" vertical="center"/>
      <protection/>
    </xf>
    <xf numFmtId="3" fontId="1" fillId="0" borderId="10" xfId="53" applyNumberFormat="1" applyBorder="1" applyAlignment="1">
      <alignment horizontal="center" vertical="center"/>
      <protection/>
    </xf>
    <xf numFmtId="0" fontId="1" fillId="0" borderId="14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3" fontId="1" fillId="0" borderId="13" xfId="53" applyNumberForma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10" xfId="53" applyNumberForma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 wrapText="1"/>
      <protection/>
    </xf>
    <xf numFmtId="9" fontId="1" fillId="0" borderId="10" xfId="53" applyNumberFormat="1" applyFont="1" applyBorder="1" applyAlignment="1">
      <alignment horizontal="center" vertical="center"/>
      <protection/>
    </xf>
    <xf numFmtId="4" fontId="1" fillId="33" borderId="10" xfId="53" applyNumberFormat="1" applyFill="1" applyBorder="1" applyAlignment="1">
      <alignment horizontal="center" vertical="center"/>
      <protection/>
    </xf>
    <xf numFmtId="3" fontId="1" fillId="0" borderId="19" xfId="53" applyNumberFormat="1" applyBorder="1" applyAlignment="1">
      <alignment horizontal="center" vertical="center"/>
      <protection/>
    </xf>
    <xf numFmtId="3" fontId="1" fillId="0" borderId="17" xfId="53" applyNumberFormat="1" applyBorder="1" applyAlignment="1">
      <alignment horizontal="center" vertical="center"/>
      <protection/>
    </xf>
    <xf numFmtId="0" fontId="6" fillId="0" borderId="14" xfId="53" applyFont="1" applyBorder="1" applyAlignment="1">
      <alignment horizontal="left" vertical="center" wrapText="1"/>
      <protection/>
    </xf>
    <xf numFmtId="3" fontId="1" fillId="0" borderId="15" xfId="53" applyNumberFormat="1" applyBorder="1" applyAlignment="1">
      <alignment horizontal="center" vertical="center"/>
      <protection/>
    </xf>
    <xf numFmtId="3" fontId="1" fillId="0" borderId="16" xfId="53" applyNumberFormat="1" applyBorder="1" applyAlignment="1">
      <alignment horizontal="center" vertical="center"/>
      <protection/>
    </xf>
    <xf numFmtId="0" fontId="1" fillId="0" borderId="0" xfId="53" applyAlignment="1">
      <alignment horizontal="center" vertical="center" wrapText="1"/>
      <protection/>
    </xf>
    <xf numFmtId="0" fontId="1" fillId="0" borderId="0" xfId="53" applyAlignment="1">
      <alignment horizontal="left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0" fontId="1" fillId="0" borderId="0" xfId="53" applyAlignment="1">
      <alignment horizontal="center" wrapText="1"/>
      <protection/>
    </xf>
    <xf numFmtId="0" fontId="1" fillId="0" borderId="0" xfId="53" applyAlignment="1">
      <alignment horizontal="left" wrapText="1" indent="8"/>
      <protection/>
    </xf>
    <xf numFmtId="0" fontId="1" fillId="0" borderId="0" xfId="53" applyBorder="1" applyAlignment="1">
      <alignment horizontal="left" wrapText="1"/>
      <protection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left" vertical="center" wrapText="1"/>
      <protection/>
    </xf>
    <xf numFmtId="0" fontId="1" fillId="33" borderId="0" xfId="53" applyFill="1" applyAlignment="1">
      <alignment horizontal="left" vertical="center" indent="6"/>
      <protection/>
    </xf>
    <xf numFmtId="0" fontId="1" fillId="33" borderId="0" xfId="53" applyFill="1" applyAlignment="1">
      <alignment horizontal="left" vertical="center" indent="4"/>
      <protection/>
    </xf>
    <xf numFmtId="0" fontId="14" fillId="0" borderId="0" xfId="54" applyFont="1" applyAlignment="1">
      <alignment horizontal="center" vertical="center" wrapText="1"/>
      <protection/>
    </xf>
    <xf numFmtId="0" fontId="15" fillId="0" borderId="0" xfId="54" applyFont="1" applyAlignment="1">
      <alignment/>
      <protection/>
    </xf>
    <xf numFmtId="0" fontId="14" fillId="0" borderId="0" xfId="54" applyFont="1" applyFill="1" applyBorder="1" applyAlignment="1">
      <alignment/>
      <protection/>
    </xf>
    <xf numFmtId="0" fontId="14" fillId="34" borderId="10" xfId="54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horizontal="left" vertical="center" wrapText="1"/>
      <protection/>
    </xf>
    <xf numFmtId="4" fontId="14" fillId="0" borderId="10" xfId="54" applyNumberFormat="1" applyFont="1" applyBorder="1" applyAlignment="1">
      <alignment horizontal="center" vertical="center" wrapText="1"/>
      <protection/>
    </xf>
    <xf numFmtId="0" fontId="15" fillId="0" borderId="0" xfId="54" applyFont="1" applyAlignment="1">
      <alignment horizontal="left" vertical="center" wrapText="1"/>
      <protection/>
    </xf>
    <xf numFmtId="0" fontId="14" fillId="0" borderId="0" xfId="54" applyFont="1" applyAlignment="1">
      <alignment horizontal="left" vertical="center" wrapText="1"/>
      <protection/>
    </xf>
    <xf numFmtId="0" fontId="1" fillId="33" borderId="0" xfId="55" applyFont="1" applyFill="1" applyBorder="1" applyAlignment="1">
      <alignment horizontal="right" vertical="center" wrapText="1"/>
      <protection/>
    </xf>
    <xf numFmtId="0" fontId="1" fillId="34" borderId="10" xfId="55" applyFont="1" applyFill="1" applyBorder="1" applyAlignment="1">
      <alignment horizontal="center" vertical="center" wrapText="1"/>
      <protection/>
    </xf>
    <xf numFmtId="0" fontId="1" fillId="33" borderId="0" xfId="55" applyFont="1" applyFill="1" applyAlignment="1">
      <alignment horizontal="center" vertical="center" wrapText="1"/>
      <protection/>
    </xf>
    <xf numFmtId="0" fontId="1" fillId="33" borderId="0" xfId="55" applyFont="1" applyFill="1" applyAlignment="1">
      <alignment horizontal="left" vertical="center" wrapText="1"/>
      <protection/>
    </xf>
    <xf numFmtId="0" fontId="1" fillId="33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34" borderId="11" xfId="55" applyFont="1" applyFill="1" applyBorder="1" applyAlignment="1">
      <alignment horizontal="center" vertical="center" wrapText="1"/>
      <protection/>
    </xf>
    <xf numFmtId="0" fontId="1" fillId="34" borderId="12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3" fontId="1" fillId="0" borderId="19" xfId="55" applyNumberFormat="1" applyFont="1" applyBorder="1" applyAlignment="1">
      <alignment horizontal="center" vertical="center"/>
      <protection/>
    </xf>
    <xf numFmtId="3" fontId="1" fillId="0" borderId="17" xfId="55" applyNumberFormat="1" applyFont="1" applyBorder="1" applyAlignment="1">
      <alignment horizontal="center" vertical="center"/>
      <protection/>
    </xf>
    <xf numFmtId="3" fontId="1" fillId="0" borderId="20" xfId="55" applyNumberFormat="1" applyFont="1" applyBorder="1" applyAlignment="1">
      <alignment horizontal="center" vertical="center"/>
      <protection/>
    </xf>
    <xf numFmtId="0" fontId="1" fillId="0" borderId="10" xfId="55" applyFont="1" applyBorder="1">
      <alignment/>
      <protection/>
    </xf>
    <xf numFmtId="3" fontId="1" fillId="0" borderId="13" xfId="55" applyNumberFormat="1" applyFont="1" applyBorder="1" applyAlignment="1">
      <alignment horizontal="center" vertical="center"/>
      <protection/>
    </xf>
    <xf numFmtId="3" fontId="1" fillId="0" borderId="10" xfId="55" applyNumberFormat="1" applyFont="1" applyBorder="1" applyAlignment="1">
      <alignment horizontal="center" vertical="center"/>
      <protection/>
    </xf>
    <xf numFmtId="3" fontId="1" fillId="0" borderId="14" xfId="55" applyNumberFormat="1" applyFont="1" applyBorder="1" applyAlignment="1">
      <alignment horizontal="center" vertical="center"/>
      <protection/>
    </xf>
    <xf numFmtId="3" fontId="1" fillId="0" borderId="15" xfId="55" applyNumberFormat="1" applyFont="1" applyBorder="1" applyAlignment="1">
      <alignment horizontal="center" vertical="center"/>
      <protection/>
    </xf>
    <xf numFmtId="3" fontId="1" fillId="0" borderId="16" xfId="55" applyNumberFormat="1" applyFont="1" applyBorder="1" applyAlignment="1">
      <alignment horizontal="center" vertical="center"/>
      <protection/>
    </xf>
    <xf numFmtId="0" fontId="1" fillId="0" borderId="0" xfId="55" applyFont="1" applyAlignment="1">
      <alignment horizontal="left" vertical="center" wrapText="1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center" wrapText="1"/>
      <protection/>
    </xf>
    <xf numFmtId="0" fontId="1" fillId="0" borderId="0" xfId="55" applyFont="1" applyAlignment="1">
      <alignment horizontal="left" vertical="center" wrapText="1" indent="8"/>
      <protection/>
    </xf>
    <xf numFmtId="0" fontId="6" fillId="0" borderId="0" xfId="53" applyFont="1" applyAlignment="1">
      <alignment horizontal="left" wrapText="1"/>
      <protection/>
    </xf>
    <xf numFmtId="3" fontId="6" fillId="0" borderId="10" xfId="55" applyNumberFormat="1" applyFont="1" applyBorder="1" applyAlignment="1">
      <alignment horizontal="center" vertical="center"/>
      <protection/>
    </xf>
    <xf numFmtId="3" fontId="6" fillId="0" borderId="12" xfId="55" applyNumberFormat="1" applyFont="1" applyBorder="1" applyAlignment="1">
      <alignment horizontal="center" vertical="center"/>
      <protection/>
    </xf>
    <xf numFmtId="1" fontId="1" fillId="0" borderId="10" xfId="55" applyNumberFormat="1" applyBorder="1" applyAlignment="1">
      <alignment horizontal="center" vertical="center"/>
      <protection/>
    </xf>
    <xf numFmtId="3" fontId="1" fillId="0" borderId="10" xfId="53" applyNumberFormat="1" applyFont="1" applyBorder="1" applyAlignment="1">
      <alignment horizontal="center" vertical="center"/>
      <protection/>
    </xf>
    <xf numFmtId="3" fontId="14" fillId="0" borderId="10" xfId="54" applyNumberFormat="1" applyFont="1" applyBorder="1" applyAlignment="1">
      <alignment horizontal="center" vertical="center" wrapText="1"/>
      <protection/>
    </xf>
    <xf numFmtId="0" fontId="3" fillId="33" borderId="0" xfId="55" applyFont="1" applyFill="1" applyAlignment="1">
      <alignment horizontal="center" vertical="center" wrapText="1"/>
      <protection/>
    </xf>
    <xf numFmtId="0" fontId="2" fillId="0" borderId="0" xfId="55" applyFont="1" applyAlignment="1">
      <alignment horizontal="left"/>
      <protection/>
    </xf>
    <xf numFmtId="0" fontId="8" fillId="33" borderId="0" xfId="55" applyFont="1" applyFill="1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6" fillId="33" borderId="0" xfId="55" applyFont="1" applyFill="1" applyAlignment="1">
      <alignment horizontal="center" vertical="center" wrapText="1"/>
      <protection/>
    </xf>
    <xf numFmtId="0" fontId="8" fillId="33" borderId="0" xfId="53" applyFont="1" applyFill="1" applyAlignment="1">
      <alignment horizontal="center" vertical="center" wrapText="1"/>
      <protection/>
    </xf>
    <xf numFmtId="0" fontId="9" fillId="33" borderId="0" xfId="53" applyFont="1" applyFill="1" applyAlignment="1">
      <alignment horizontal="center" vertical="center" wrapText="1"/>
      <protection/>
    </xf>
    <xf numFmtId="3" fontId="6" fillId="0" borderId="14" xfId="55" applyNumberFormat="1" applyFont="1" applyBorder="1" applyAlignment="1">
      <alignment horizontal="center" vertical="center"/>
      <protection/>
    </xf>
    <xf numFmtId="0" fontId="1" fillId="33" borderId="21" xfId="55" applyFont="1" applyFill="1" applyBorder="1" applyAlignment="1">
      <alignment horizontal="left" vertical="center"/>
      <protection/>
    </xf>
    <xf numFmtId="3" fontId="15" fillId="0" borderId="10" xfId="5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" fillId="34" borderId="17" xfId="55" applyFont="1" applyFill="1" applyBorder="1" applyAlignment="1">
      <alignment vertical="center" wrapText="1"/>
      <protection/>
    </xf>
    <xf numFmtId="4" fontId="6" fillId="0" borderId="14" xfId="55" applyNumberFormat="1" applyFont="1" applyBorder="1" applyAlignment="1">
      <alignment horizontal="center" vertical="center"/>
      <protection/>
    </xf>
    <xf numFmtId="0" fontId="6" fillId="0" borderId="10" xfId="55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34" borderId="17" xfId="55" applyFont="1" applyFill="1" applyBorder="1" applyAlignment="1">
      <alignment horizontal="center" vertical="center" wrapText="1"/>
      <protection/>
    </xf>
    <xf numFmtId="3" fontId="2" fillId="0" borderId="14" xfId="55" applyNumberFormat="1" applyFont="1" applyBorder="1" applyAlignment="1">
      <alignment horizontal="center" vertical="center"/>
      <protection/>
    </xf>
    <xf numFmtId="1" fontId="1" fillId="0" borderId="0" xfId="55" applyNumberFormat="1" applyFont="1">
      <alignment/>
      <protection/>
    </xf>
    <xf numFmtId="0" fontId="6" fillId="33" borderId="0" xfId="55" applyFont="1" applyFill="1" applyAlignment="1">
      <alignment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22" xfId="5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8" fillId="0" borderId="0" xfId="0" applyFont="1" applyAlignment="1">
      <alignment/>
    </xf>
    <xf numFmtId="0" fontId="1" fillId="0" borderId="14" xfId="56" applyFont="1" applyBorder="1" applyAlignment="1">
      <alignment horizontal="left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1" fillId="0" borderId="10" xfId="56" applyBorder="1" applyAlignment="1">
      <alignment horizontal="center" vertical="center" wrapText="1"/>
      <protection/>
    </xf>
    <xf numFmtId="4" fontId="1" fillId="0" borderId="10" xfId="56" applyNumberFormat="1" applyFont="1" applyBorder="1" applyAlignment="1">
      <alignment horizontal="center"/>
      <protection/>
    </xf>
    <xf numFmtId="1" fontId="1" fillId="0" borderId="10" xfId="56" applyNumberFormat="1" applyBorder="1" applyAlignment="1">
      <alignment horizontal="center" vertical="center" wrapText="1"/>
      <protection/>
    </xf>
    <xf numFmtId="2" fontId="1" fillId="0" borderId="10" xfId="56" applyNumberFormat="1" applyBorder="1" applyAlignment="1">
      <alignment horizontal="center"/>
      <protection/>
    </xf>
    <xf numFmtId="0" fontId="6" fillId="0" borderId="14" xfId="55" applyFont="1" applyBorder="1" applyAlignment="1">
      <alignment horizontal="left" vertical="center" wrapText="1"/>
      <protection/>
    </xf>
    <xf numFmtId="1" fontId="1" fillId="0" borderId="14" xfId="56" applyNumberFormat="1" applyBorder="1" applyAlignment="1">
      <alignment horizontal="center" vertical="center" wrapText="1"/>
      <protection/>
    </xf>
    <xf numFmtId="2" fontId="1" fillId="0" borderId="14" xfId="56" applyNumberFormat="1" applyBorder="1" applyAlignment="1">
      <alignment horizontal="center"/>
      <protection/>
    </xf>
    <xf numFmtId="0" fontId="6" fillId="0" borderId="14" xfId="56" applyFont="1" applyBorder="1" applyAlignment="1">
      <alignment horizontal="left" wrapText="1"/>
      <protection/>
    </xf>
    <xf numFmtId="0" fontId="7" fillId="0" borderId="10" xfId="0" applyFont="1" applyBorder="1" applyAlignment="1">
      <alignment/>
    </xf>
    <xf numFmtId="0" fontId="1" fillId="0" borderId="10" xfId="56" applyBorder="1">
      <alignment/>
      <protection/>
    </xf>
    <xf numFmtId="2" fontId="8" fillId="0" borderId="14" xfId="56" applyNumberFormat="1" applyFont="1" applyBorder="1">
      <alignment/>
      <protection/>
    </xf>
    <xf numFmtId="3" fontId="1" fillId="0" borderId="0" xfId="53" applyNumberFormat="1" applyBorder="1" applyAlignment="1">
      <alignment horizontal="center" vertical="center"/>
      <protection/>
    </xf>
    <xf numFmtId="3" fontId="6" fillId="0" borderId="0" xfId="53" applyNumberFormat="1" applyFont="1" applyBorder="1" applyAlignment="1">
      <alignment horizontal="center" vertical="center"/>
      <protection/>
    </xf>
    <xf numFmtId="4" fontId="1" fillId="0" borderId="0" xfId="53" applyNumberFormat="1" applyBorder="1" applyAlignment="1">
      <alignment horizontal="center" vertical="center"/>
      <protection/>
    </xf>
    <xf numFmtId="3" fontId="1" fillId="0" borderId="0" xfId="53" applyNumberFormat="1" applyFont="1" applyBorder="1" applyAlignment="1">
      <alignment horizontal="center" vertical="center"/>
      <protection/>
    </xf>
    <xf numFmtId="3" fontId="6" fillId="0" borderId="0" xfId="53" applyNumberFormat="1" applyFont="1" applyBorder="1" applyAlignment="1">
      <alignment horizontal="center" vertical="center" wrapText="1"/>
      <protection/>
    </xf>
    <xf numFmtId="4" fontId="1" fillId="0" borderId="0" xfId="53" applyNumberFormat="1" applyFont="1" applyBorder="1" applyAlignment="1">
      <alignment horizontal="center" vertical="center"/>
      <protection/>
    </xf>
    <xf numFmtId="0" fontId="1" fillId="0" borderId="0" xfId="53" applyBorder="1" applyAlignment="1">
      <alignment horizontal="left" vertical="center" wrapText="1"/>
      <protection/>
    </xf>
    <xf numFmtId="1" fontId="6" fillId="0" borderId="10" xfId="55" applyNumberFormat="1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4" fontId="1" fillId="0" borderId="10" xfId="56" applyNumberFormat="1" applyFont="1" applyBorder="1" applyAlignment="1">
      <alignment horizontal="right"/>
      <protection/>
    </xf>
    <xf numFmtId="4" fontId="8" fillId="0" borderId="10" xfId="56" applyNumberFormat="1" applyFont="1" applyBorder="1" applyAlignment="1">
      <alignment horizontal="right" vertical="center"/>
      <protection/>
    </xf>
    <xf numFmtId="2" fontId="0" fillId="0" borderId="10" xfId="0" applyNumberFormat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3" fontId="1" fillId="0" borderId="10" xfId="53" applyNumberFormat="1" applyFont="1" applyBorder="1" applyAlignment="1">
      <alignment horizontal="right" vertical="center"/>
      <protection/>
    </xf>
    <xf numFmtId="3" fontId="8" fillId="0" borderId="14" xfId="55" applyNumberFormat="1" applyFont="1" applyBorder="1" applyAlignment="1">
      <alignment horizontal="center" vertical="center"/>
      <protection/>
    </xf>
    <xf numFmtId="0" fontId="1" fillId="0" borderId="23" xfId="56" applyFont="1" applyFill="1" applyBorder="1" applyAlignment="1">
      <alignment horizontal="left" vertical="center" wrapText="1"/>
      <protection/>
    </xf>
    <xf numFmtId="3" fontId="3" fillId="0" borderId="14" xfId="55" applyNumberFormat="1" applyFont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left" vertical="center" wrapText="1"/>
      <protection/>
    </xf>
    <xf numFmtId="3" fontId="9" fillId="0" borderId="10" xfId="55" applyNumberFormat="1" applyFont="1" applyBorder="1" applyAlignment="1">
      <alignment horizontal="center" vertical="center"/>
      <protection/>
    </xf>
    <xf numFmtId="3" fontId="9" fillId="0" borderId="14" xfId="55" applyNumberFormat="1" applyFont="1" applyBorder="1" applyAlignment="1">
      <alignment horizontal="center" vertical="center"/>
      <protection/>
    </xf>
    <xf numFmtId="3" fontId="10" fillId="0" borderId="10" xfId="55" applyNumberFormat="1" applyFont="1" applyBorder="1" applyAlignment="1">
      <alignment horizontal="center" vertical="center"/>
      <protection/>
    </xf>
    <xf numFmtId="3" fontId="10" fillId="0" borderId="13" xfId="55" applyNumberFormat="1" applyFont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 wrapText="1"/>
      <protection/>
    </xf>
    <xf numFmtId="1" fontId="0" fillId="0" borderId="10" xfId="0" applyNumberFormat="1" applyBorder="1" applyAlignment="1">
      <alignment horizontal="center"/>
    </xf>
    <xf numFmtId="0" fontId="6" fillId="0" borderId="10" xfId="55" applyFont="1" applyBorder="1" applyAlignment="1">
      <alignment horizontal="left" vertical="center" wrapText="1"/>
      <protection/>
    </xf>
    <xf numFmtId="4" fontId="1" fillId="0" borderId="14" xfId="55" applyNumberFormat="1" applyFont="1" applyBorder="1" applyAlignment="1">
      <alignment horizontal="center" vertical="center"/>
      <protection/>
    </xf>
    <xf numFmtId="1" fontId="1" fillId="0" borderId="10" xfId="55" applyNumberFormat="1" applyFont="1" applyBorder="1">
      <alignment/>
      <protection/>
    </xf>
    <xf numFmtId="4" fontId="1" fillId="0" borderId="24" xfId="55" applyNumberFormat="1" applyFont="1" applyBorder="1" applyAlignment="1">
      <alignment horizontal="center" vertical="center"/>
      <protection/>
    </xf>
    <xf numFmtId="3" fontId="6" fillId="0" borderId="13" xfId="55" applyNumberFormat="1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2" fillId="34" borderId="14" xfId="55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3" borderId="0" xfId="55" applyFont="1" applyFill="1" applyAlignment="1">
      <alignment horizontal="left" vertical="center"/>
      <protection/>
    </xf>
    <xf numFmtId="0" fontId="4" fillId="0" borderId="0" xfId="0" applyFont="1" applyAlignment="1">
      <alignment/>
    </xf>
    <xf numFmtId="0" fontId="3" fillId="33" borderId="0" xfId="55" applyFont="1" applyFill="1" applyAlignment="1">
      <alignment horizontal="left" vertical="center"/>
      <protection/>
    </xf>
    <xf numFmtId="0" fontId="0" fillId="0" borderId="0" xfId="0" applyAlignment="1">
      <alignment/>
    </xf>
    <xf numFmtId="0" fontId="3" fillId="33" borderId="0" xfId="55" applyFont="1" applyFill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5" applyFont="1" applyAlignment="1">
      <alignment horizontal="left" indent="1"/>
      <protection/>
    </xf>
    <xf numFmtId="0" fontId="2" fillId="0" borderId="0" xfId="55" applyFont="1" applyAlignment="1">
      <alignment horizontal="left"/>
      <protection/>
    </xf>
    <xf numFmtId="0" fontId="0" fillId="0" borderId="0" xfId="0" applyAlignment="1">
      <alignment horizontal="left"/>
    </xf>
    <xf numFmtId="0" fontId="2" fillId="34" borderId="25" xfId="55" applyFont="1" applyFill="1" applyBorder="1" applyAlignment="1">
      <alignment horizontal="center" vertical="center" wrapText="1"/>
      <protection/>
    </xf>
    <xf numFmtId="0" fontId="2" fillId="34" borderId="13" xfId="55" applyFont="1" applyFill="1" applyBorder="1" applyAlignment="1">
      <alignment horizontal="center" vertical="center" wrapText="1"/>
      <protection/>
    </xf>
    <xf numFmtId="0" fontId="2" fillId="34" borderId="26" xfId="55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17" xfId="55" applyFont="1" applyFill="1" applyBorder="1" applyAlignment="1">
      <alignment horizontal="center" vertical="center" wrapText="1"/>
      <protection/>
    </xf>
    <xf numFmtId="0" fontId="2" fillId="34" borderId="12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1" fillId="0" borderId="14" xfId="56" applyFont="1" applyBorder="1" applyAlignment="1">
      <alignment horizontal="left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8" fillId="33" borderId="0" xfId="55" applyFont="1" applyFill="1" applyAlignment="1">
      <alignment horizontal="center" vertical="center" wrapText="1"/>
      <protection/>
    </xf>
    <xf numFmtId="0" fontId="1" fillId="0" borderId="0" xfId="55" applyAlignment="1">
      <alignment/>
      <protection/>
    </xf>
    <xf numFmtId="0" fontId="6" fillId="33" borderId="0" xfId="55" applyFont="1" applyFill="1" applyAlignment="1">
      <alignment horizontal="left" vertical="center"/>
      <protection/>
    </xf>
    <xf numFmtId="0" fontId="1" fillId="33" borderId="0" xfId="55" applyFont="1" applyFill="1" applyAlignment="1">
      <alignment horizontal="left" vertical="center"/>
      <protection/>
    </xf>
    <xf numFmtId="0" fontId="1" fillId="0" borderId="0" xfId="55" applyAlignment="1">
      <alignment horizontal="left" vertical="center" wrapText="1"/>
      <protection/>
    </xf>
    <xf numFmtId="0" fontId="1" fillId="34" borderId="10" xfId="55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left" vertical="center" wrapText="1"/>
      <protection/>
    </xf>
    <xf numFmtId="0" fontId="1" fillId="0" borderId="0" xfId="55" applyAlignment="1">
      <alignment horizontal="center" vertical="center" wrapText="1"/>
      <protection/>
    </xf>
    <xf numFmtId="0" fontId="9" fillId="33" borderId="0" xfId="55" applyFont="1" applyFill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right" vertical="center" wrapText="1"/>
      <protection/>
    </xf>
    <xf numFmtId="0" fontId="1" fillId="0" borderId="0" xfId="55" applyFont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" fillId="0" borderId="0" xfId="55" applyFont="1" applyAlignment="1">
      <alignment horizontal="center" vertical="center" wrapText="1"/>
      <protection/>
    </xf>
    <xf numFmtId="0" fontId="1" fillId="34" borderId="10" xfId="55" applyFont="1" applyFill="1" applyBorder="1" applyAlignment="1">
      <alignment horizontal="center" vertical="center" wrapText="1"/>
      <protection/>
    </xf>
    <xf numFmtId="0" fontId="1" fillId="34" borderId="14" xfId="55" applyFont="1" applyFill="1" applyBorder="1" applyAlignment="1">
      <alignment horizontal="center" vertical="center" wrapText="1"/>
      <protection/>
    </xf>
    <xf numFmtId="0" fontId="1" fillId="34" borderId="28" xfId="55" applyFont="1" applyFill="1" applyBorder="1" applyAlignment="1">
      <alignment horizontal="center" vertical="center" wrapText="1"/>
      <protection/>
    </xf>
    <xf numFmtId="0" fontId="1" fillId="34" borderId="29" xfId="55" applyFont="1" applyFill="1" applyBorder="1" applyAlignment="1">
      <alignment horizontal="center" vertical="center" wrapText="1"/>
      <protection/>
    </xf>
    <xf numFmtId="0" fontId="1" fillId="34" borderId="26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0" xfId="55" applyFont="1" applyFill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2" xfId="55" applyFont="1" applyFill="1" applyBorder="1" applyAlignment="1">
      <alignment horizontal="center" vertical="center" wrapText="1"/>
      <protection/>
    </xf>
    <xf numFmtId="0" fontId="1" fillId="33" borderId="0" xfId="55" applyFont="1" applyFill="1" applyBorder="1" applyAlignment="1">
      <alignment horizontal="right" vertical="center" wrapText="1"/>
      <protection/>
    </xf>
    <xf numFmtId="0" fontId="1" fillId="0" borderId="0" xfId="55" applyFont="1" applyAlignment="1">
      <alignment horizontal="left"/>
      <protection/>
    </xf>
    <xf numFmtId="0" fontId="1" fillId="34" borderId="10" xfId="55" applyFont="1" applyFill="1" applyBorder="1" applyAlignment="1">
      <alignment horizontal="center" vertical="center" wrapText="1"/>
      <protection/>
    </xf>
    <xf numFmtId="0" fontId="1" fillId="34" borderId="10" xfId="55" applyFill="1" applyBorder="1" applyAlignment="1">
      <alignment horizontal="center" vertical="center" wrapText="1"/>
      <protection/>
    </xf>
    <xf numFmtId="0" fontId="2" fillId="34" borderId="14" xfId="55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1" fillId="34" borderId="17" xfId="55" applyFont="1" applyFill="1" applyBorder="1" applyAlignment="1">
      <alignment horizontal="center" vertical="center" wrapText="1"/>
      <protection/>
    </xf>
    <xf numFmtId="0" fontId="1" fillId="34" borderId="12" xfId="55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1" fillId="33" borderId="0" xfId="55" applyFill="1" applyAlignment="1">
      <alignment horizontal="center"/>
      <protection/>
    </xf>
    <xf numFmtId="0" fontId="2" fillId="34" borderId="25" xfId="55" applyFont="1" applyFill="1" applyBorder="1" applyAlignment="1">
      <alignment horizontal="center" vertical="center" wrapText="1"/>
      <protection/>
    </xf>
    <xf numFmtId="0" fontId="2" fillId="34" borderId="13" xfId="55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" fillId="0" borderId="0" xfId="53" applyBorder="1" applyAlignment="1">
      <alignment horizontal="left" wrapText="1"/>
      <protection/>
    </xf>
    <xf numFmtId="0" fontId="1" fillId="33" borderId="0" xfId="53" applyFill="1" applyAlignment="1">
      <alignment horizontal="center"/>
      <protection/>
    </xf>
    <xf numFmtId="0" fontId="1" fillId="0" borderId="0" xfId="53" applyAlignment="1">
      <alignment/>
      <protection/>
    </xf>
    <xf numFmtId="0" fontId="8" fillId="33" borderId="0" xfId="53" applyFont="1" applyFill="1" applyAlignment="1">
      <alignment horizontal="center" vertical="center" wrapText="1"/>
      <protection/>
    </xf>
    <xf numFmtId="0" fontId="9" fillId="33" borderId="0" xfId="53" applyFont="1" applyFill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right" vertical="center" wrapText="1"/>
      <protection/>
    </xf>
    <xf numFmtId="0" fontId="2" fillId="34" borderId="28" xfId="53" applyFont="1" applyFill="1" applyBorder="1" applyAlignment="1">
      <alignment horizontal="center" vertical="center" wrapText="1"/>
      <protection/>
    </xf>
    <xf numFmtId="0" fontId="2" fillId="34" borderId="29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4" fillId="0" borderId="0" xfId="54" applyFont="1" applyAlignment="1">
      <alignment horizontal="left" vertical="center" wrapText="1"/>
      <protection/>
    </xf>
    <xf numFmtId="0" fontId="15" fillId="0" borderId="0" xfId="54" applyFont="1" applyAlignment="1">
      <alignment horizontal="center" vertical="center" wrapText="1"/>
      <protection/>
    </xf>
    <xf numFmtId="0" fontId="6" fillId="0" borderId="14" xfId="56" applyFont="1" applyBorder="1" applyAlignment="1">
      <alignment horizontal="left" vertical="center" wrapText="1"/>
      <protection/>
    </xf>
    <xf numFmtId="0" fontId="6" fillId="0" borderId="13" xfId="56" applyFont="1" applyBorder="1" applyAlignment="1">
      <alignment horizontal="left" vertical="center" wrapText="1"/>
      <protection/>
    </xf>
    <xf numFmtId="0" fontId="6" fillId="0" borderId="10" xfId="56" applyFont="1" applyBorder="1" applyAlignment="1">
      <alignment/>
      <protection/>
    </xf>
    <xf numFmtId="0" fontId="7" fillId="0" borderId="10" xfId="0" applyFont="1" applyBorder="1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и на диагностику и ремонт двигателей" xfId="53"/>
    <cellStyle name="Обычный_Калькуляции на шлифовку валов" xfId="54"/>
    <cellStyle name="Обычный_Прайс-лист с 01.02.08" xfId="55"/>
    <cellStyle name="Обычный_ТО АГП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16</xdr:col>
      <xdr:colOff>152400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3">
      <selection activeCell="B11" sqref="B11:B12"/>
    </sheetView>
  </sheetViews>
  <sheetFormatPr defaultColWidth="9.140625" defaultRowHeight="12.75"/>
  <cols>
    <col min="1" max="1" width="4.28125" style="0" customWidth="1"/>
    <col min="2" max="2" width="43.57421875" style="0" customWidth="1"/>
    <col min="3" max="3" width="0.2890625" style="0" hidden="1" customWidth="1"/>
    <col min="4" max="4" width="14.00390625" style="0" hidden="1" customWidth="1"/>
    <col min="5" max="5" width="12.140625" style="0" hidden="1" customWidth="1"/>
    <col min="6" max="6" width="0.42578125" style="0" hidden="1" customWidth="1"/>
    <col min="7" max="7" width="0.5625" style="0" hidden="1" customWidth="1"/>
    <col min="8" max="8" width="0.2890625" style="0" hidden="1" customWidth="1"/>
    <col min="9" max="9" width="11.00390625" style="0" customWidth="1"/>
    <col min="10" max="11" width="0.2890625" style="0" hidden="1" customWidth="1"/>
    <col min="12" max="13" width="0" style="0" hidden="1" customWidth="1"/>
    <col min="14" max="14" width="10.8515625" style="0" customWidth="1"/>
    <col min="15" max="15" width="0.71875" style="0" hidden="1" customWidth="1"/>
    <col min="17" max="17" width="12.140625" style="0" customWidth="1"/>
  </cols>
  <sheetData>
    <row r="1" spans="1:17" ht="12.75">
      <c r="A1" s="5"/>
      <c r="B1" s="6"/>
      <c r="C1" s="6"/>
      <c r="D1" s="6"/>
      <c r="E1" s="6"/>
      <c r="F1" s="256" t="s">
        <v>0</v>
      </c>
      <c r="G1" s="256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2.75">
      <c r="A2" s="5"/>
      <c r="B2" s="6"/>
      <c r="C2" s="6"/>
      <c r="D2" s="6"/>
      <c r="E2" s="6"/>
      <c r="F2" s="256" t="s">
        <v>241</v>
      </c>
      <c r="G2" s="256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2.75">
      <c r="A3" s="5"/>
      <c r="B3" s="6"/>
      <c r="C3" s="6"/>
      <c r="D3" s="6"/>
      <c r="E3" s="6"/>
      <c r="F3" s="256" t="s">
        <v>242</v>
      </c>
      <c r="G3" s="256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12.75">
      <c r="A4" s="5"/>
      <c r="B4" s="6"/>
      <c r="C4" s="6"/>
      <c r="D4" s="6"/>
      <c r="E4" s="6"/>
      <c r="F4" s="7"/>
      <c r="G4" s="7"/>
      <c r="H4" s="254" t="s">
        <v>243</v>
      </c>
      <c r="I4" s="254"/>
      <c r="J4" s="254"/>
      <c r="K4" s="255"/>
      <c r="L4" s="255"/>
      <c r="M4" s="255"/>
      <c r="N4" s="255"/>
      <c r="O4" s="255"/>
      <c r="P4" s="255"/>
      <c r="Q4" s="255"/>
    </row>
    <row r="5" spans="1:17" ht="12.75">
      <c r="A5" s="5"/>
      <c r="B5" s="6"/>
      <c r="C5" s="6"/>
      <c r="D5" s="6"/>
      <c r="E5" s="6"/>
      <c r="F5" s="7"/>
      <c r="G5" s="7"/>
      <c r="H5" s="254" t="s">
        <v>308</v>
      </c>
      <c r="I5" s="254"/>
      <c r="J5" s="254"/>
      <c r="K5" s="255"/>
      <c r="L5" s="255"/>
      <c r="M5" s="255"/>
      <c r="N5" s="255"/>
      <c r="O5" s="255"/>
      <c r="P5" s="255"/>
      <c r="Q5" s="255"/>
    </row>
    <row r="6" spans="1:17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  <c r="O6" s="8"/>
      <c r="P6" s="8"/>
      <c r="Q6" s="9"/>
    </row>
    <row r="7" spans="1:17" ht="12.75">
      <c r="A7" s="258" t="s">
        <v>2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176"/>
      <c r="P7" s="176"/>
      <c r="Q7" s="10"/>
    </row>
    <row r="8" spans="1:17" ht="12.75">
      <c r="A8" s="258" t="s">
        <v>3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176"/>
      <c r="P8" s="176"/>
      <c r="Q8" s="10"/>
    </row>
    <row r="9" spans="1:17" ht="12.75">
      <c r="A9" s="258" t="s">
        <v>4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176"/>
      <c r="P9" s="176"/>
      <c r="Q9" s="10"/>
    </row>
    <row r="10" spans="1:17" ht="13.5" thickBot="1">
      <c r="A10" s="258" t="s">
        <v>309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176"/>
      <c r="P10" s="176"/>
      <c r="Q10" s="10"/>
    </row>
    <row r="11" spans="1:17" ht="41.25" customHeight="1">
      <c r="A11" s="253" t="s">
        <v>5</v>
      </c>
      <c r="B11" s="252" t="s">
        <v>6</v>
      </c>
      <c r="C11" s="253" t="s">
        <v>7</v>
      </c>
      <c r="D11" s="253"/>
      <c r="E11" s="253"/>
      <c r="F11" s="252" t="s">
        <v>244</v>
      </c>
      <c r="G11" s="263"/>
      <c r="H11" s="263"/>
      <c r="I11" s="263"/>
      <c r="J11" s="263"/>
      <c r="K11" s="264"/>
      <c r="L11" s="265" t="s">
        <v>8</v>
      </c>
      <c r="M11" s="266"/>
      <c r="N11" s="267"/>
      <c r="O11" s="2"/>
      <c r="P11" s="193" t="s">
        <v>12</v>
      </c>
      <c r="Q11" s="268" t="s">
        <v>9</v>
      </c>
    </row>
    <row r="12" spans="1:17" ht="26.25" customHeight="1">
      <c r="A12" s="253"/>
      <c r="B12" s="252"/>
      <c r="C12" s="2" t="s">
        <v>10</v>
      </c>
      <c r="D12" s="2" t="s">
        <v>11</v>
      </c>
      <c r="E12" s="2" t="s">
        <v>12</v>
      </c>
      <c r="F12" s="2" t="s">
        <v>10</v>
      </c>
      <c r="G12" s="2" t="s">
        <v>10</v>
      </c>
      <c r="H12" s="2" t="s">
        <v>11</v>
      </c>
      <c r="I12" s="2" t="s">
        <v>10</v>
      </c>
      <c r="J12" s="2" t="s">
        <v>11</v>
      </c>
      <c r="K12" s="2" t="s">
        <v>12</v>
      </c>
      <c r="L12" s="3" t="s">
        <v>10</v>
      </c>
      <c r="M12" s="4" t="s">
        <v>11</v>
      </c>
      <c r="N12" s="2" t="s">
        <v>11</v>
      </c>
      <c r="O12" s="2" t="s">
        <v>12</v>
      </c>
      <c r="P12" s="4"/>
      <c r="Q12" s="269"/>
    </row>
    <row r="13" spans="1:17" ht="12.75">
      <c r="A13" s="11">
        <v>1</v>
      </c>
      <c r="B13" s="17" t="s">
        <v>13</v>
      </c>
      <c r="C13" s="22">
        <v>8581</v>
      </c>
      <c r="D13" s="12"/>
      <c r="E13" s="12"/>
      <c r="F13" s="21">
        <f>C13*1.18</f>
        <v>10125.58</v>
      </c>
      <c r="G13" s="21">
        <f>F13*1.15</f>
        <v>11644.417</v>
      </c>
      <c r="H13" s="21"/>
      <c r="I13" s="21">
        <f>G13*1.2</f>
        <v>13973.300399999998</v>
      </c>
      <c r="J13" s="21"/>
      <c r="K13" s="21"/>
      <c r="L13" s="13">
        <f>ROUND(4500*1.18,0)</f>
        <v>5310</v>
      </c>
      <c r="M13" s="14"/>
      <c r="N13" s="15"/>
      <c r="O13" s="15"/>
      <c r="P13" s="15"/>
      <c r="Q13" s="16"/>
    </row>
    <row r="14" spans="1:17" ht="24">
      <c r="A14" s="11">
        <v>2</v>
      </c>
      <c r="B14" s="17" t="s">
        <v>14</v>
      </c>
      <c r="C14" s="12"/>
      <c r="D14" s="20">
        <v>14873</v>
      </c>
      <c r="E14" s="20" t="s">
        <v>15</v>
      </c>
      <c r="F14" s="21"/>
      <c r="G14" s="21"/>
      <c r="H14" s="21">
        <f aca="true" t="shared" si="0" ref="H14:H27">D14*1.18</f>
        <v>17550.14</v>
      </c>
      <c r="I14" s="21"/>
      <c r="J14" s="21">
        <f aca="true" t="shared" si="1" ref="J14:J27">H14*1.15</f>
        <v>20182.660999999996</v>
      </c>
      <c r="K14" s="21"/>
      <c r="L14" s="18" t="s">
        <v>15</v>
      </c>
      <c r="M14" s="21">
        <f>ROUND(7800*1.18,0)</f>
        <v>9204</v>
      </c>
      <c r="N14" s="194">
        <f>J14*1.2</f>
        <v>24219.193199999994</v>
      </c>
      <c r="O14" s="19"/>
      <c r="P14" s="19"/>
      <c r="Q14" s="16"/>
    </row>
    <row r="15" spans="1:17" ht="24">
      <c r="A15" s="11">
        <v>3</v>
      </c>
      <c r="B15" s="17" t="s">
        <v>16</v>
      </c>
      <c r="C15" s="22">
        <v>1154</v>
      </c>
      <c r="D15" s="20">
        <v>11826</v>
      </c>
      <c r="E15" s="20" t="s">
        <v>15</v>
      </c>
      <c r="F15" s="21">
        <f>C15*1.18</f>
        <v>1361.72</v>
      </c>
      <c r="G15" s="21">
        <f>F15*1.15</f>
        <v>1565.9779999999998</v>
      </c>
      <c r="H15" s="21">
        <f t="shared" si="0"/>
        <v>13954.679999999998</v>
      </c>
      <c r="I15" s="21">
        <f aca="true" t="shared" si="2" ref="I15:I21">G15*1.2</f>
        <v>1879.1735999999996</v>
      </c>
      <c r="J15" s="21">
        <f t="shared" si="1"/>
        <v>16047.881999999998</v>
      </c>
      <c r="K15" s="21"/>
      <c r="L15" s="23">
        <f>ROUND(600*1.18,0)</f>
        <v>708</v>
      </c>
      <c r="M15" s="21">
        <f>ROUND(6200*1.18,0)</f>
        <v>7316</v>
      </c>
      <c r="N15" s="194">
        <f aca="true" t="shared" si="3" ref="N15:N58">J15*1.2</f>
        <v>19257.458399999996</v>
      </c>
      <c r="O15" s="19"/>
      <c r="P15" s="19"/>
      <c r="Q15" s="16"/>
    </row>
    <row r="16" spans="1:17" ht="12.75">
      <c r="A16" s="11">
        <v>4</v>
      </c>
      <c r="B16" s="17" t="s">
        <v>17</v>
      </c>
      <c r="C16" s="22">
        <v>757</v>
      </c>
      <c r="D16" s="20">
        <v>10870</v>
      </c>
      <c r="E16" s="20" t="s">
        <v>15</v>
      </c>
      <c r="F16" s="21">
        <f>C16*1.18</f>
        <v>893.26</v>
      </c>
      <c r="G16" s="21">
        <f>F16*1.15</f>
        <v>1027.249</v>
      </c>
      <c r="H16" s="21">
        <f t="shared" si="0"/>
        <v>12826.599999999999</v>
      </c>
      <c r="I16" s="21">
        <f t="shared" si="2"/>
        <v>1232.6988</v>
      </c>
      <c r="J16" s="21">
        <f t="shared" si="1"/>
        <v>14750.589999999997</v>
      </c>
      <c r="K16" s="21"/>
      <c r="L16" s="23">
        <f>ROUND(400*1.18,0)</f>
        <v>472</v>
      </c>
      <c r="M16" s="21">
        <f>ROUND(5700*1.18,0)</f>
        <v>6726</v>
      </c>
      <c r="N16" s="194">
        <f t="shared" si="3"/>
        <v>17700.707999999995</v>
      </c>
      <c r="O16" s="19"/>
      <c r="P16" s="19"/>
      <c r="Q16" s="16"/>
    </row>
    <row r="17" spans="1:17" ht="12.75">
      <c r="A17" s="11">
        <v>5</v>
      </c>
      <c r="B17" s="17" t="s">
        <v>18</v>
      </c>
      <c r="C17" s="22"/>
      <c r="D17" s="20">
        <v>1154</v>
      </c>
      <c r="E17" s="20" t="s">
        <v>15</v>
      </c>
      <c r="F17" s="21"/>
      <c r="G17" s="21"/>
      <c r="H17" s="21">
        <f t="shared" si="0"/>
        <v>1361.72</v>
      </c>
      <c r="I17" s="21"/>
      <c r="J17" s="21">
        <f t="shared" si="1"/>
        <v>1565.9779999999998</v>
      </c>
      <c r="K17" s="21"/>
      <c r="L17" s="18" t="s">
        <v>15</v>
      </c>
      <c r="M17" s="21">
        <f>ROUND(600*1.18,0)</f>
        <v>708</v>
      </c>
      <c r="N17" s="194">
        <f t="shared" si="3"/>
        <v>1879.1735999999996</v>
      </c>
      <c r="O17" s="19"/>
      <c r="P17" s="19"/>
      <c r="Q17" s="16"/>
    </row>
    <row r="18" spans="1:17" ht="12.75">
      <c r="A18" s="11">
        <v>6</v>
      </c>
      <c r="B18" s="17" t="s">
        <v>19</v>
      </c>
      <c r="C18" s="22"/>
      <c r="D18" s="20">
        <v>2921</v>
      </c>
      <c r="E18" s="20" t="s">
        <v>15</v>
      </c>
      <c r="F18" s="21"/>
      <c r="G18" s="21"/>
      <c r="H18" s="21">
        <f t="shared" si="0"/>
        <v>3446.7799999999997</v>
      </c>
      <c r="I18" s="21"/>
      <c r="J18" s="21">
        <f t="shared" si="1"/>
        <v>3963.7969999999996</v>
      </c>
      <c r="K18" s="21"/>
      <c r="L18" s="23" t="s">
        <v>15</v>
      </c>
      <c r="M18" s="21">
        <f>ROUND(1530*1.18,0)</f>
        <v>1805</v>
      </c>
      <c r="N18" s="194">
        <f t="shared" si="3"/>
        <v>4756.5563999999995</v>
      </c>
      <c r="O18" s="19"/>
      <c r="P18" s="19"/>
      <c r="Q18" s="16"/>
    </row>
    <row r="19" spans="1:17" ht="12.75">
      <c r="A19" s="11">
        <v>7</v>
      </c>
      <c r="B19" s="17" t="s">
        <v>20</v>
      </c>
      <c r="C19" s="22">
        <v>956</v>
      </c>
      <c r="D19" s="20">
        <v>20895</v>
      </c>
      <c r="E19" s="20" t="s">
        <v>15</v>
      </c>
      <c r="F19" s="21">
        <f>C19*1.18</f>
        <v>1128.08</v>
      </c>
      <c r="G19" s="21">
        <f>F19*1.15</f>
        <v>1297.292</v>
      </c>
      <c r="H19" s="21">
        <f t="shared" si="0"/>
        <v>24656.1</v>
      </c>
      <c r="I19" s="21">
        <f t="shared" si="2"/>
        <v>1556.7504</v>
      </c>
      <c r="J19" s="21">
        <f t="shared" si="1"/>
        <v>28354.514999999996</v>
      </c>
      <c r="K19" s="21"/>
      <c r="L19" s="23">
        <f>ROUND(500*1.18,0)</f>
        <v>590</v>
      </c>
      <c r="M19" s="21">
        <f>ROUND(7100*1.18,0)</f>
        <v>8378</v>
      </c>
      <c r="N19" s="194">
        <f t="shared" si="3"/>
        <v>34025.41799999999</v>
      </c>
      <c r="O19" s="19"/>
      <c r="P19" s="19"/>
      <c r="Q19" s="16"/>
    </row>
    <row r="20" spans="1:17" ht="12.75">
      <c r="A20" s="11">
        <v>8</v>
      </c>
      <c r="B20" s="17" t="s">
        <v>21</v>
      </c>
      <c r="C20" s="22">
        <v>1154</v>
      </c>
      <c r="D20" s="20">
        <v>16206</v>
      </c>
      <c r="E20" s="20" t="s">
        <v>15</v>
      </c>
      <c r="F20" s="21">
        <f>C20*1.18</f>
        <v>1361.72</v>
      </c>
      <c r="G20" s="21">
        <f>F20*1.15</f>
        <v>1565.9779999999998</v>
      </c>
      <c r="H20" s="21">
        <f t="shared" si="0"/>
        <v>19123.079999999998</v>
      </c>
      <c r="I20" s="21">
        <f t="shared" si="2"/>
        <v>1879.1735999999996</v>
      </c>
      <c r="J20" s="21">
        <f t="shared" si="1"/>
        <v>21991.541999999998</v>
      </c>
      <c r="K20" s="21"/>
      <c r="L20" s="23">
        <f>ROUND(600*1.18,0)</f>
        <v>708</v>
      </c>
      <c r="M20" s="21">
        <f>ROUND(8500*1.18,0)</f>
        <v>10030</v>
      </c>
      <c r="N20" s="194">
        <f t="shared" si="3"/>
        <v>26389.850399999996</v>
      </c>
      <c r="O20" s="19"/>
      <c r="P20" s="19"/>
      <c r="Q20" s="16"/>
    </row>
    <row r="21" spans="1:17" ht="12.75">
      <c r="A21" s="11">
        <v>9</v>
      </c>
      <c r="B21" s="17" t="s">
        <v>22</v>
      </c>
      <c r="C21" s="22">
        <v>956</v>
      </c>
      <c r="D21" s="20">
        <v>13539</v>
      </c>
      <c r="E21" s="20" t="s">
        <v>15</v>
      </c>
      <c r="F21" s="21">
        <f>C21*1.18</f>
        <v>1128.08</v>
      </c>
      <c r="G21" s="21">
        <f>F21*1.15</f>
        <v>1297.292</v>
      </c>
      <c r="H21" s="21">
        <f t="shared" si="0"/>
        <v>15976.019999999999</v>
      </c>
      <c r="I21" s="21">
        <f t="shared" si="2"/>
        <v>1556.7504</v>
      </c>
      <c r="J21" s="21">
        <f t="shared" si="1"/>
        <v>18372.422999999995</v>
      </c>
      <c r="K21" s="21"/>
      <c r="L21" s="23">
        <f>ROUND(500*1.18,0)</f>
        <v>590</v>
      </c>
      <c r="M21" s="21">
        <f>ROUND(7100*1.18,0)</f>
        <v>8378</v>
      </c>
      <c r="N21" s="194">
        <f t="shared" si="3"/>
        <v>22046.907599999995</v>
      </c>
      <c r="O21" s="19"/>
      <c r="P21" s="19"/>
      <c r="Q21" s="16"/>
    </row>
    <row r="22" spans="1:17" ht="12.75">
      <c r="A22" s="11">
        <v>10</v>
      </c>
      <c r="B22" s="17" t="s">
        <v>23</v>
      </c>
      <c r="C22" s="22"/>
      <c r="D22" s="20">
        <v>1515</v>
      </c>
      <c r="E22" s="20" t="s">
        <v>15</v>
      </c>
      <c r="F22" s="21"/>
      <c r="G22" s="21"/>
      <c r="H22" s="21">
        <f t="shared" si="0"/>
        <v>1787.6999999999998</v>
      </c>
      <c r="I22" s="21"/>
      <c r="J22" s="21">
        <f t="shared" si="1"/>
        <v>2055.8549999999996</v>
      </c>
      <c r="K22" s="21"/>
      <c r="L22" s="23" t="s">
        <v>15</v>
      </c>
      <c r="M22" s="21">
        <f>ROUND(790*1.18,0)</f>
        <v>932</v>
      </c>
      <c r="N22" s="194">
        <f t="shared" si="3"/>
        <v>2467.0259999999994</v>
      </c>
      <c r="O22" s="19"/>
      <c r="P22" s="19"/>
      <c r="Q22" s="16"/>
    </row>
    <row r="23" spans="1:17" ht="12.75">
      <c r="A23" s="11">
        <v>11</v>
      </c>
      <c r="B23" s="17" t="s">
        <v>24</v>
      </c>
      <c r="C23" s="22"/>
      <c r="D23" s="20">
        <v>1532</v>
      </c>
      <c r="E23" s="20" t="s">
        <v>15</v>
      </c>
      <c r="F23" s="21"/>
      <c r="G23" s="21"/>
      <c r="H23" s="21">
        <f t="shared" si="0"/>
        <v>1807.76</v>
      </c>
      <c r="I23" s="21"/>
      <c r="J23" s="21">
        <f t="shared" si="1"/>
        <v>2078.924</v>
      </c>
      <c r="K23" s="21"/>
      <c r="L23" s="23" t="s">
        <v>15</v>
      </c>
      <c r="M23" s="21">
        <f>ROUND(800*1.18,0)</f>
        <v>944</v>
      </c>
      <c r="N23" s="194">
        <f t="shared" si="3"/>
        <v>2494.7088</v>
      </c>
      <c r="O23" s="19"/>
      <c r="P23" s="19"/>
      <c r="Q23" s="16"/>
    </row>
    <row r="24" spans="1:17" ht="12.75">
      <c r="A24" s="11">
        <v>12</v>
      </c>
      <c r="B24" s="17" t="s">
        <v>25</v>
      </c>
      <c r="C24" s="22"/>
      <c r="D24" s="20">
        <v>1623</v>
      </c>
      <c r="E24" s="20" t="s">
        <v>15</v>
      </c>
      <c r="F24" s="21"/>
      <c r="G24" s="21"/>
      <c r="H24" s="21">
        <f t="shared" si="0"/>
        <v>1915.1399999999999</v>
      </c>
      <c r="I24" s="21"/>
      <c r="J24" s="21">
        <f t="shared" si="1"/>
        <v>2202.4109999999996</v>
      </c>
      <c r="K24" s="21"/>
      <c r="L24" s="23" t="s">
        <v>15</v>
      </c>
      <c r="M24" s="21">
        <f>ROUND(850*1.18,0)</f>
        <v>1003</v>
      </c>
      <c r="N24" s="194">
        <f t="shared" si="3"/>
        <v>2642.8931999999995</v>
      </c>
      <c r="O24" s="19"/>
      <c r="P24" s="19"/>
      <c r="Q24" s="16"/>
    </row>
    <row r="25" spans="1:17" ht="24">
      <c r="A25" s="11">
        <v>13</v>
      </c>
      <c r="B25" s="17" t="s">
        <v>26</v>
      </c>
      <c r="C25" s="22"/>
      <c r="D25" s="20">
        <v>2290</v>
      </c>
      <c r="E25" s="20" t="s">
        <v>15</v>
      </c>
      <c r="F25" s="21"/>
      <c r="G25" s="21"/>
      <c r="H25" s="21">
        <f t="shared" si="0"/>
        <v>2702.2</v>
      </c>
      <c r="I25" s="21"/>
      <c r="J25" s="21">
        <f t="shared" si="1"/>
        <v>3107.5299999999997</v>
      </c>
      <c r="K25" s="21"/>
      <c r="L25" s="23" t="s">
        <v>15</v>
      </c>
      <c r="M25" s="21">
        <f>ROUND(1200*1.18,0)</f>
        <v>1416</v>
      </c>
      <c r="N25" s="194">
        <f t="shared" si="3"/>
        <v>3729.0359999999996</v>
      </c>
      <c r="O25" s="19"/>
      <c r="P25" s="19"/>
      <c r="Q25" s="16"/>
    </row>
    <row r="26" spans="1:17" ht="12.75">
      <c r="A26" s="11">
        <v>14</v>
      </c>
      <c r="B26" s="17" t="s">
        <v>27</v>
      </c>
      <c r="C26" s="22"/>
      <c r="D26" s="20">
        <v>2290</v>
      </c>
      <c r="E26" s="20" t="s">
        <v>15</v>
      </c>
      <c r="F26" s="21"/>
      <c r="G26" s="21"/>
      <c r="H26" s="21">
        <f t="shared" si="0"/>
        <v>2702.2</v>
      </c>
      <c r="I26" s="21"/>
      <c r="J26" s="21">
        <f t="shared" si="1"/>
        <v>3107.5299999999997</v>
      </c>
      <c r="K26" s="21"/>
      <c r="L26" s="23" t="s">
        <v>15</v>
      </c>
      <c r="M26" s="21">
        <f>ROUND(1200*1.18,0)</f>
        <v>1416</v>
      </c>
      <c r="N26" s="194">
        <f t="shared" si="3"/>
        <v>3729.0359999999996</v>
      </c>
      <c r="O26" s="19"/>
      <c r="P26" s="19"/>
      <c r="Q26" s="16"/>
    </row>
    <row r="27" spans="1:17" ht="12.75">
      <c r="A27" s="11">
        <v>15</v>
      </c>
      <c r="B27" s="17" t="s">
        <v>28</v>
      </c>
      <c r="C27" s="22"/>
      <c r="D27" s="20">
        <v>4002</v>
      </c>
      <c r="E27" s="20" t="s">
        <v>15</v>
      </c>
      <c r="F27" s="21"/>
      <c r="G27" s="21"/>
      <c r="H27" s="21">
        <f t="shared" si="0"/>
        <v>4722.36</v>
      </c>
      <c r="I27" s="21"/>
      <c r="J27" s="21">
        <f t="shared" si="1"/>
        <v>5430.713999999999</v>
      </c>
      <c r="K27" s="21"/>
      <c r="L27" s="23" t="s">
        <v>15</v>
      </c>
      <c r="M27" s="21">
        <f>ROUND(2100*1.18,0)</f>
        <v>2478</v>
      </c>
      <c r="N27" s="194">
        <f t="shared" si="3"/>
        <v>6516.856799999999</v>
      </c>
      <c r="O27" s="19"/>
      <c r="P27" s="19"/>
      <c r="Q27" s="16"/>
    </row>
    <row r="28" spans="1:17" ht="12.75">
      <c r="A28" s="11"/>
      <c r="B28" s="24" t="s">
        <v>29</v>
      </c>
      <c r="C28" s="22"/>
      <c r="D28" s="20"/>
      <c r="E28" s="20"/>
      <c r="F28" s="21"/>
      <c r="G28" s="21"/>
      <c r="H28" s="21"/>
      <c r="I28" s="21"/>
      <c r="J28" s="21"/>
      <c r="K28" s="21"/>
      <c r="L28" s="23"/>
      <c r="M28" s="21"/>
      <c r="N28" s="194">
        <f t="shared" si="3"/>
        <v>0</v>
      </c>
      <c r="O28" s="19"/>
      <c r="P28" s="19"/>
      <c r="Q28" s="16"/>
    </row>
    <row r="29" spans="1:17" ht="15">
      <c r="A29" s="11">
        <v>16</v>
      </c>
      <c r="B29" s="238" t="s">
        <v>30</v>
      </c>
      <c r="C29" s="22">
        <v>1154</v>
      </c>
      <c r="D29" s="20">
        <v>18695</v>
      </c>
      <c r="E29" s="20">
        <v>9158</v>
      </c>
      <c r="F29" s="21">
        <f>C29*1.18</f>
        <v>1361.72</v>
      </c>
      <c r="G29" s="21">
        <f>F29*1.15</f>
        <v>1565.9779999999998</v>
      </c>
      <c r="H29" s="21">
        <f>D29*1.18</f>
        <v>22060.1</v>
      </c>
      <c r="I29" s="239">
        <v>1950</v>
      </c>
      <c r="J29" s="21">
        <f>H29*1.15</f>
        <v>25369.114999999998</v>
      </c>
      <c r="K29" s="21">
        <f>E29*1.18</f>
        <v>10806.439999999999</v>
      </c>
      <c r="L29" s="23">
        <f>ROUND(800*1.18,0)</f>
        <v>944</v>
      </c>
      <c r="M29" s="21">
        <f>ROUND(9800*1.18,0)</f>
        <v>11564</v>
      </c>
      <c r="N29" s="240">
        <v>21843</v>
      </c>
      <c r="O29" s="25">
        <f>K29*1.15</f>
        <v>12427.405999999997</v>
      </c>
      <c r="P29" s="25">
        <f>O29*1.2</f>
        <v>14912.887199999996</v>
      </c>
      <c r="Q29" s="16"/>
    </row>
    <row r="30" spans="1:17" ht="12.75">
      <c r="A30" s="11"/>
      <c r="B30" s="271" t="s">
        <v>298</v>
      </c>
      <c r="C30" s="272"/>
      <c r="D30" s="237">
        <v>1</v>
      </c>
      <c r="E30" s="237">
        <v>5500</v>
      </c>
      <c r="F30" s="237">
        <f aca="true" t="shared" si="4" ref="F30:F35">D30*E30</f>
        <v>5500</v>
      </c>
      <c r="G30" s="21"/>
      <c r="H30" s="21"/>
      <c r="I30" s="21"/>
      <c r="J30" s="21"/>
      <c r="K30" s="21"/>
      <c r="L30" s="23"/>
      <c r="M30" s="21"/>
      <c r="N30" s="192">
        <v>2500</v>
      </c>
      <c r="O30" s="25"/>
      <c r="P30" s="25"/>
      <c r="Q30" s="16"/>
    </row>
    <row r="31" spans="1:17" ht="12.75">
      <c r="A31" s="11"/>
      <c r="B31" s="271" t="s">
        <v>304</v>
      </c>
      <c r="C31" s="272"/>
      <c r="D31" s="237">
        <v>1</v>
      </c>
      <c r="E31" s="237">
        <v>6500</v>
      </c>
      <c r="F31" s="237">
        <f t="shared" si="4"/>
        <v>6500</v>
      </c>
      <c r="G31" s="21"/>
      <c r="H31" s="21"/>
      <c r="I31" s="21"/>
      <c r="J31" s="21"/>
      <c r="K31" s="21"/>
      <c r="L31" s="23"/>
      <c r="M31" s="21"/>
      <c r="N31" s="192">
        <v>3800</v>
      </c>
      <c r="O31" s="25"/>
      <c r="P31" s="25"/>
      <c r="Q31" s="16"/>
    </row>
    <row r="32" spans="1:17" ht="12.75">
      <c r="A32" s="11"/>
      <c r="B32" s="271" t="s">
        <v>301</v>
      </c>
      <c r="C32" s="272"/>
      <c r="D32" s="237">
        <v>1</v>
      </c>
      <c r="E32" s="237">
        <v>2600</v>
      </c>
      <c r="F32" s="237">
        <f t="shared" si="4"/>
        <v>2600</v>
      </c>
      <c r="G32" s="21"/>
      <c r="H32" s="21"/>
      <c r="I32" s="21"/>
      <c r="J32" s="21"/>
      <c r="K32" s="21"/>
      <c r="L32" s="23"/>
      <c r="M32" s="21"/>
      <c r="N32" s="192">
        <v>3243</v>
      </c>
      <c r="O32" s="25"/>
      <c r="P32" s="25"/>
      <c r="Q32" s="16"/>
    </row>
    <row r="33" spans="1:17" ht="12.75">
      <c r="A33" s="11"/>
      <c r="B33" s="271" t="s">
        <v>276</v>
      </c>
      <c r="C33" s="272"/>
      <c r="D33" s="237">
        <v>1</v>
      </c>
      <c r="E33" s="237">
        <v>4400</v>
      </c>
      <c r="F33" s="237">
        <f t="shared" si="4"/>
        <v>4400</v>
      </c>
      <c r="G33" s="21"/>
      <c r="H33" s="21"/>
      <c r="I33" s="21"/>
      <c r="J33" s="21"/>
      <c r="K33" s="21"/>
      <c r="L33" s="23"/>
      <c r="M33" s="21"/>
      <c r="N33" s="192">
        <v>6000</v>
      </c>
      <c r="O33" s="25"/>
      <c r="P33" s="25"/>
      <c r="Q33" s="16"/>
    </row>
    <row r="34" spans="1:17" ht="12.75">
      <c r="A34" s="11"/>
      <c r="B34" s="271" t="s">
        <v>303</v>
      </c>
      <c r="C34" s="272"/>
      <c r="D34" s="237">
        <v>1</v>
      </c>
      <c r="E34" s="237">
        <v>6500</v>
      </c>
      <c r="F34" s="237">
        <f t="shared" si="4"/>
        <v>6500</v>
      </c>
      <c r="G34" s="21"/>
      <c r="H34" s="21"/>
      <c r="I34" s="21"/>
      <c r="J34" s="21"/>
      <c r="K34" s="21"/>
      <c r="L34" s="23"/>
      <c r="M34" s="21"/>
      <c r="N34" s="192">
        <v>3800</v>
      </c>
      <c r="O34" s="25"/>
      <c r="P34" s="25"/>
      <c r="Q34" s="16"/>
    </row>
    <row r="35" spans="1:17" ht="12.75">
      <c r="A35" s="11"/>
      <c r="B35" s="203" t="s">
        <v>299</v>
      </c>
      <c r="C35" s="204"/>
      <c r="D35" s="237">
        <v>1</v>
      </c>
      <c r="E35" s="237">
        <v>5500</v>
      </c>
      <c r="F35" s="237">
        <f t="shared" si="4"/>
        <v>5500</v>
      </c>
      <c r="G35" s="21"/>
      <c r="H35" s="21"/>
      <c r="I35" s="21"/>
      <c r="J35" s="21"/>
      <c r="K35" s="21"/>
      <c r="L35" s="23"/>
      <c r="M35" s="21"/>
      <c r="N35" s="192">
        <v>2500</v>
      </c>
      <c r="O35" s="25"/>
      <c r="P35" s="25"/>
      <c r="Q35" s="16"/>
    </row>
    <row r="36" spans="1:17" ht="12.75">
      <c r="A36" s="11">
        <v>17</v>
      </c>
      <c r="B36" s="17" t="s">
        <v>31</v>
      </c>
      <c r="C36" s="22">
        <v>1154</v>
      </c>
      <c r="D36" s="20">
        <v>19505</v>
      </c>
      <c r="E36" s="20">
        <v>11250</v>
      </c>
      <c r="F36" s="21">
        <f aca="true" t="shared" si="5" ref="F36:F41">C36*1.18</f>
        <v>1361.72</v>
      </c>
      <c r="G36" s="21">
        <f aca="true" t="shared" si="6" ref="G36:G41">F36*1.15</f>
        <v>1565.9779999999998</v>
      </c>
      <c r="H36" s="21">
        <f>D36*1.18</f>
        <v>23015.899999999998</v>
      </c>
      <c r="I36" s="21">
        <v>1879</v>
      </c>
      <c r="J36" s="21">
        <f aca="true" t="shared" si="7" ref="J36:J41">H36*1.15</f>
        <v>26468.284999999996</v>
      </c>
      <c r="K36" s="21">
        <f>E36*1.18</f>
        <v>13275</v>
      </c>
      <c r="L36" s="23">
        <f>ROUND(800*1.18,0)</f>
        <v>944</v>
      </c>
      <c r="M36" s="21">
        <f>ROUND(9800*1.18,0)</f>
        <v>11564</v>
      </c>
      <c r="N36" s="25">
        <v>31762</v>
      </c>
      <c r="O36" s="25">
        <f>K36*1.15</f>
        <v>15266.249999999998</v>
      </c>
      <c r="P36" s="25">
        <f>O36*1.2</f>
        <v>18319.499999999996</v>
      </c>
      <c r="Q36" s="16"/>
    </row>
    <row r="37" spans="1:17" ht="12.75">
      <c r="A37" s="11">
        <v>18</v>
      </c>
      <c r="B37" s="17" t="s">
        <v>32</v>
      </c>
      <c r="C37" s="22">
        <v>380</v>
      </c>
      <c r="D37" s="20">
        <v>5643</v>
      </c>
      <c r="E37" s="20">
        <v>2001</v>
      </c>
      <c r="F37" s="21">
        <f t="shared" si="5"/>
        <v>448.4</v>
      </c>
      <c r="G37" s="21">
        <f t="shared" si="6"/>
        <v>515.66</v>
      </c>
      <c r="H37" s="21">
        <f>D37*1.18</f>
        <v>6658.74</v>
      </c>
      <c r="I37" s="21">
        <f>G37*1.2</f>
        <v>618.7919999999999</v>
      </c>
      <c r="J37" s="21">
        <f t="shared" si="7"/>
        <v>7657.5509999999995</v>
      </c>
      <c r="K37" s="21">
        <f>E37*1.18</f>
        <v>2361.18</v>
      </c>
      <c r="L37" s="23">
        <f>ROUND(200*1.18,0)</f>
        <v>236</v>
      </c>
      <c r="M37" s="21">
        <f>ROUND(2960*1.18,0)</f>
        <v>3493</v>
      </c>
      <c r="N37" s="194">
        <f t="shared" si="3"/>
        <v>9189.061199999998</v>
      </c>
      <c r="O37" s="25">
        <f>K37*1.15</f>
        <v>2715.3569999999995</v>
      </c>
      <c r="P37" s="25">
        <f>O37*1.2</f>
        <v>3258.4283999999993</v>
      </c>
      <c r="Q37" s="16"/>
    </row>
    <row r="38" spans="1:17" ht="24">
      <c r="A38" s="11">
        <v>19</v>
      </c>
      <c r="B38" s="17" t="s">
        <v>33</v>
      </c>
      <c r="C38" s="22">
        <v>3245</v>
      </c>
      <c r="D38" s="20">
        <v>29216</v>
      </c>
      <c r="E38" s="20" t="s">
        <v>15</v>
      </c>
      <c r="F38" s="21">
        <f t="shared" si="5"/>
        <v>3829.1</v>
      </c>
      <c r="G38" s="21">
        <f t="shared" si="6"/>
        <v>4403.464999999999</v>
      </c>
      <c r="H38" s="21">
        <f>D38*1.18</f>
        <v>34474.88</v>
      </c>
      <c r="I38" s="21">
        <f>G38*1.2</f>
        <v>5284.1579999999985</v>
      </c>
      <c r="J38" s="21">
        <f t="shared" si="7"/>
        <v>39646.111999999994</v>
      </c>
      <c r="K38" s="21"/>
      <c r="L38" s="23">
        <f>ROUND(1700*1.18,0)</f>
        <v>2006</v>
      </c>
      <c r="M38" s="21">
        <f>ROUND(13690*1.18,0)</f>
        <v>16154</v>
      </c>
      <c r="N38" s="194">
        <f t="shared" si="3"/>
        <v>47575.33439999999</v>
      </c>
      <c r="O38" s="25"/>
      <c r="P38" s="25"/>
      <c r="Q38" s="16"/>
    </row>
    <row r="39" spans="1:17" ht="24">
      <c r="A39" s="11">
        <v>20</v>
      </c>
      <c r="B39" s="17" t="s">
        <v>49</v>
      </c>
      <c r="C39" s="22">
        <v>3623</v>
      </c>
      <c r="D39" s="20">
        <v>34764</v>
      </c>
      <c r="E39" s="20" t="s">
        <v>15</v>
      </c>
      <c r="F39" s="21">
        <f t="shared" si="5"/>
        <v>4275.139999999999</v>
      </c>
      <c r="G39" s="21">
        <f t="shared" si="6"/>
        <v>4916.410999999999</v>
      </c>
      <c r="H39" s="21">
        <f>D39*1.18</f>
        <v>41021.52</v>
      </c>
      <c r="I39" s="21">
        <f>G39*1.2</f>
        <v>5899.693199999999</v>
      </c>
      <c r="J39" s="21">
        <f t="shared" si="7"/>
        <v>47174.74799999999</v>
      </c>
      <c r="K39" s="21"/>
      <c r="L39" s="23">
        <f>ROUND(1900*1.18,0)</f>
        <v>2242</v>
      </c>
      <c r="M39" s="21">
        <f>ROUND(15900*1.18,0)</f>
        <v>18762</v>
      </c>
      <c r="N39" s="194">
        <f t="shared" si="3"/>
        <v>56609.69759999999</v>
      </c>
      <c r="O39" s="25"/>
      <c r="P39" s="25"/>
      <c r="Q39" s="16"/>
    </row>
    <row r="40" spans="1:17" ht="12.75">
      <c r="A40" s="11">
        <v>21</v>
      </c>
      <c r="B40" s="17" t="s">
        <v>34</v>
      </c>
      <c r="C40" s="22">
        <v>4580</v>
      </c>
      <c r="D40" s="20">
        <v>34071</v>
      </c>
      <c r="E40" s="20" t="s">
        <v>15</v>
      </c>
      <c r="F40" s="21">
        <f t="shared" si="5"/>
        <v>5404.4</v>
      </c>
      <c r="G40" s="21">
        <f t="shared" si="6"/>
        <v>6215.0599999999995</v>
      </c>
      <c r="H40" s="21">
        <v>40203.78</v>
      </c>
      <c r="I40" s="21">
        <f>G40*1.2</f>
        <v>7458.071999999999</v>
      </c>
      <c r="J40" s="21">
        <f t="shared" si="7"/>
        <v>46234.346999999994</v>
      </c>
      <c r="K40" s="21"/>
      <c r="L40" s="23">
        <f>ROUND(2400*1.18,0)</f>
        <v>2832</v>
      </c>
      <c r="M40" s="21">
        <f>ROUND(17860*1.18,0)</f>
        <v>21075</v>
      </c>
      <c r="N40" s="194">
        <f t="shared" si="3"/>
        <v>55481.21639999999</v>
      </c>
      <c r="O40" s="25"/>
      <c r="P40" s="25"/>
      <c r="Q40" s="16"/>
    </row>
    <row r="41" spans="1:17" ht="15">
      <c r="A41" s="11">
        <v>22</v>
      </c>
      <c r="B41" s="238" t="s">
        <v>35</v>
      </c>
      <c r="C41" s="22">
        <v>2110</v>
      </c>
      <c r="D41" s="20">
        <v>28125</v>
      </c>
      <c r="E41" s="20" t="s">
        <v>15</v>
      </c>
      <c r="F41" s="21">
        <f t="shared" si="5"/>
        <v>2489.7999999999997</v>
      </c>
      <c r="G41" s="21">
        <f t="shared" si="6"/>
        <v>2863.2699999999995</v>
      </c>
      <c r="H41" s="21">
        <f>D41*1.18</f>
        <v>33187.5</v>
      </c>
      <c r="I41" s="239">
        <v>2500</v>
      </c>
      <c r="J41" s="241">
        <f t="shared" si="7"/>
        <v>38165.625</v>
      </c>
      <c r="K41" s="241"/>
      <c r="L41" s="242">
        <f>ROUND(1100*1.18,0)</f>
        <v>1298</v>
      </c>
      <c r="M41" s="241">
        <f>ROUND(11900*1.18,0)</f>
        <v>14042</v>
      </c>
      <c r="N41" s="240">
        <v>30000</v>
      </c>
      <c r="O41" s="25"/>
      <c r="P41" s="25"/>
      <c r="Q41" s="16"/>
    </row>
    <row r="42" spans="1:17" ht="12.75">
      <c r="A42" s="11"/>
      <c r="B42" s="238" t="s">
        <v>305</v>
      </c>
      <c r="C42" s="22">
        <v>1154</v>
      </c>
      <c r="D42" s="20"/>
      <c r="E42" s="20"/>
      <c r="F42" s="21"/>
      <c r="G42" s="21"/>
      <c r="H42" s="21"/>
      <c r="I42" s="21"/>
      <c r="J42" s="21"/>
      <c r="K42" s="21"/>
      <c r="L42" s="23"/>
      <c r="M42" s="21"/>
      <c r="N42" s="236"/>
      <c r="O42" s="25"/>
      <c r="P42" s="25"/>
      <c r="Q42" s="16"/>
    </row>
    <row r="43" spans="1:17" ht="12.75">
      <c r="A43" s="11"/>
      <c r="B43" s="271" t="s">
        <v>298</v>
      </c>
      <c r="C43" s="272"/>
      <c r="D43" s="20"/>
      <c r="E43" s="20"/>
      <c r="F43" s="21"/>
      <c r="G43" s="21"/>
      <c r="H43" s="21"/>
      <c r="I43" s="21"/>
      <c r="J43" s="21"/>
      <c r="K43" s="21"/>
      <c r="L43" s="23"/>
      <c r="M43" s="21"/>
      <c r="N43" s="237">
        <v>5500</v>
      </c>
      <c r="O43" s="25"/>
      <c r="P43" s="25"/>
      <c r="Q43" s="16"/>
    </row>
    <row r="44" spans="1:17" ht="12.75">
      <c r="A44" s="11"/>
      <c r="B44" s="271" t="s">
        <v>300</v>
      </c>
      <c r="C44" s="272"/>
      <c r="D44" s="20"/>
      <c r="E44" s="20"/>
      <c r="F44" s="21"/>
      <c r="G44" s="21"/>
      <c r="H44" s="21"/>
      <c r="I44" s="21"/>
      <c r="J44" s="21"/>
      <c r="K44" s="21"/>
      <c r="L44" s="23"/>
      <c r="M44" s="21"/>
      <c r="N44" s="237">
        <v>6500</v>
      </c>
      <c r="O44" s="25"/>
      <c r="P44" s="25"/>
      <c r="Q44" s="16"/>
    </row>
    <row r="45" spans="1:17" ht="12.75">
      <c r="A45" s="11"/>
      <c r="B45" s="271" t="s">
        <v>301</v>
      </c>
      <c r="C45" s="272"/>
      <c r="D45" s="20"/>
      <c r="E45" s="20"/>
      <c r="F45" s="21"/>
      <c r="G45" s="21"/>
      <c r="H45" s="21"/>
      <c r="I45" s="21"/>
      <c r="J45" s="21"/>
      <c r="K45" s="21"/>
      <c r="L45" s="23"/>
      <c r="M45" s="21"/>
      <c r="N45" s="237">
        <v>2600</v>
      </c>
      <c r="O45" s="25"/>
      <c r="P45" s="25"/>
      <c r="Q45" s="16"/>
    </row>
    <row r="46" spans="1:17" ht="12.75">
      <c r="A46" s="11"/>
      <c r="B46" s="271" t="s">
        <v>302</v>
      </c>
      <c r="C46" s="272"/>
      <c r="D46" s="20"/>
      <c r="E46" s="20"/>
      <c r="F46" s="21"/>
      <c r="G46" s="21"/>
      <c r="H46" s="21"/>
      <c r="I46" s="21"/>
      <c r="J46" s="21"/>
      <c r="K46" s="21"/>
      <c r="L46" s="23"/>
      <c r="M46" s="21"/>
      <c r="N46" s="237">
        <v>3400</v>
      </c>
      <c r="O46" s="25"/>
      <c r="P46" s="25"/>
      <c r="Q46" s="16"/>
    </row>
    <row r="47" spans="1:17" ht="12.75">
      <c r="A47" s="11"/>
      <c r="B47" s="271" t="s">
        <v>303</v>
      </c>
      <c r="C47" s="272"/>
      <c r="D47" s="20"/>
      <c r="E47" s="20"/>
      <c r="F47" s="21"/>
      <c r="G47" s="21"/>
      <c r="H47" s="21"/>
      <c r="I47" s="21"/>
      <c r="J47" s="21"/>
      <c r="K47" s="21"/>
      <c r="L47" s="23"/>
      <c r="M47" s="21"/>
      <c r="N47" s="237">
        <v>6500</v>
      </c>
      <c r="O47" s="25"/>
      <c r="P47" s="25"/>
      <c r="Q47" s="16"/>
    </row>
    <row r="48" spans="1:17" ht="12.75">
      <c r="A48" s="11"/>
      <c r="B48" s="203" t="s">
        <v>299</v>
      </c>
      <c r="C48" s="204"/>
      <c r="D48" s="20"/>
      <c r="E48" s="20"/>
      <c r="F48" s="21"/>
      <c r="G48" s="21"/>
      <c r="H48" s="21"/>
      <c r="I48" s="21"/>
      <c r="J48" s="21"/>
      <c r="K48" s="21"/>
      <c r="L48" s="23"/>
      <c r="M48" s="21"/>
      <c r="N48" s="237">
        <v>5500</v>
      </c>
      <c r="O48" s="25"/>
      <c r="P48" s="25"/>
      <c r="Q48" s="16"/>
    </row>
    <row r="49" spans="1:17" ht="12.75">
      <c r="A49" s="11">
        <v>23</v>
      </c>
      <c r="B49" s="17" t="s">
        <v>36</v>
      </c>
      <c r="C49" s="22">
        <v>3606</v>
      </c>
      <c r="D49" s="20">
        <v>35927</v>
      </c>
      <c r="E49" s="20" t="s">
        <v>15</v>
      </c>
      <c r="F49" s="21">
        <f aca="true" t="shared" si="8" ref="F49:F57">C49*1.18</f>
        <v>4255.08</v>
      </c>
      <c r="G49" s="21">
        <f aca="true" t="shared" si="9" ref="G49:G57">F49*1.15</f>
        <v>4893.342</v>
      </c>
      <c r="H49" s="21">
        <f>D49*1.18</f>
        <v>42393.86</v>
      </c>
      <c r="I49" s="21">
        <f aca="true" t="shared" si="10" ref="I49:I57">G49*1.2</f>
        <v>5872.010399999999</v>
      </c>
      <c r="J49" s="21">
        <f aca="true" t="shared" si="11" ref="J49:J58">H49*1.15</f>
        <v>48752.939</v>
      </c>
      <c r="K49" s="21"/>
      <c r="L49" s="23">
        <f>ROUND(1890*1.18,0)</f>
        <v>2230</v>
      </c>
      <c r="M49" s="21">
        <f>ROUND(114550*1.18,0)</f>
        <v>135169</v>
      </c>
      <c r="N49" s="194">
        <f t="shared" si="3"/>
        <v>58503.5268</v>
      </c>
      <c r="O49" s="25"/>
      <c r="P49" s="25"/>
      <c r="Q49" s="16"/>
    </row>
    <row r="50" spans="1:17" ht="12.75">
      <c r="A50" s="11">
        <v>24</v>
      </c>
      <c r="B50" s="17" t="s">
        <v>37</v>
      </c>
      <c r="C50" s="22">
        <v>1316</v>
      </c>
      <c r="D50" s="20">
        <v>11646</v>
      </c>
      <c r="E50" s="20" t="s">
        <v>15</v>
      </c>
      <c r="F50" s="21">
        <f t="shared" si="8"/>
        <v>1552.8799999999999</v>
      </c>
      <c r="G50" s="21">
        <f t="shared" si="9"/>
        <v>1785.8119999999997</v>
      </c>
      <c r="H50" s="21">
        <f>D50*1.18</f>
        <v>13742.279999999999</v>
      </c>
      <c r="I50" s="21">
        <f t="shared" si="10"/>
        <v>2142.9743999999996</v>
      </c>
      <c r="J50" s="21">
        <f t="shared" si="11"/>
        <v>15803.621999999998</v>
      </c>
      <c r="K50" s="21"/>
      <c r="L50" s="23">
        <f>ROUND(690*1.18,0)</f>
        <v>814</v>
      </c>
      <c r="M50" s="21">
        <f>ROUND(6100*1.18,0)</f>
        <v>7198</v>
      </c>
      <c r="N50" s="194">
        <f t="shared" si="3"/>
        <v>18964.346399999995</v>
      </c>
      <c r="O50" s="25"/>
      <c r="P50" s="25"/>
      <c r="Q50" s="16"/>
    </row>
    <row r="51" spans="1:17" ht="12.75">
      <c r="A51" s="11">
        <v>25</v>
      </c>
      <c r="B51" s="17" t="s">
        <v>38</v>
      </c>
      <c r="C51" s="22">
        <v>1316</v>
      </c>
      <c r="D51" s="20">
        <v>12781</v>
      </c>
      <c r="E51" s="20">
        <v>8947</v>
      </c>
      <c r="F51" s="21">
        <f t="shared" si="8"/>
        <v>1552.8799999999999</v>
      </c>
      <c r="G51" s="21">
        <f t="shared" si="9"/>
        <v>1785.8119999999997</v>
      </c>
      <c r="H51" s="21">
        <f>D51*1.18</f>
        <v>15081.58</v>
      </c>
      <c r="I51" s="21">
        <f t="shared" si="10"/>
        <v>2142.9743999999996</v>
      </c>
      <c r="J51" s="21">
        <f t="shared" si="11"/>
        <v>17343.817</v>
      </c>
      <c r="K51" s="21">
        <f aca="true" t="shared" si="12" ref="K51:K57">E51*1.18</f>
        <v>10557.46</v>
      </c>
      <c r="L51" s="23">
        <f>ROUND(690*1.18,0)</f>
        <v>814</v>
      </c>
      <c r="M51" s="21">
        <f>ROUND(6700*1.18,0)</f>
        <v>7906</v>
      </c>
      <c r="N51" s="194">
        <f t="shared" si="3"/>
        <v>20812.5804</v>
      </c>
      <c r="O51" s="25">
        <f aca="true" t="shared" si="13" ref="O51:O57">K51*1.15</f>
        <v>12141.078999999998</v>
      </c>
      <c r="P51" s="25">
        <f aca="true" t="shared" si="14" ref="P51:P57">O51*1.2</f>
        <v>14569.294799999998</v>
      </c>
      <c r="Q51" s="16"/>
    </row>
    <row r="52" spans="1:17" ht="12.75">
      <c r="A52" s="11">
        <v>26</v>
      </c>
      <c r="B52" s="17" t="s">
        <v>39</v>
      </c>
      <c r="C52" s="22">
        <v>1154</v>
      </c>
      <c r="D52" s="20">
        <v>13070</v>
      </c>
      <c r="E52" s="20">
        <v>9150</v>
      </c>
      <c r="F52" s="21">
        <f t="shared" si="8"/>
        <v>1361.72</v>
      </c>
      <c r="G52" s="21">
        <f t="shared" si="9"/>
        <v>1565.9779999999998</v>
      </c>
      <c r="H52" s="21">
        <v>15423</v>
      </c>
      <c r="I52" s="21">
        <f t="shared" si="10"/>
        <v>1879.1735999999996</v>
      </c>
      <c r="J52" s="21">
        <f t="shared" si="11"/>
        <v>17736.449999999997</v>
      </c>
      <c r="K52" s="21">
        <f t="shared" si="12"/>
        <v>10797</v>
      </c>
      <c r="L52" s="23">
        <f>ROUND(800*1.18,0)</f>
        <v>944</v>
      </c>
      <c r="M52" s="21">
        <f>ROUND(6850*1.18,0)</f>
        <v>8083</v>
      </c>
      <c r="N52" s="194">
        <f t="shared" si="3"/>
        <v>21283.739999999994</v>
      </c>
      <c r="O52" s="25">
        <f t="shared" si="13"/>
        <v>12416.55</v>
      </c>
      <c r="P52" s="25">
        <f t="shared" si="14"/>
        <v>14899.859999999999</v>
      </c>
      <c r="Q52" s="16"/>
    </row>
    <row r="53" spans="1:17" ht="12.75">
      <c r="A53" s="11">
        <v>27</v>
      </c>
      <c r="B53" s="17" t="s">
        <v>40</v>
      </c>
      <c r="C53" s="22">
        <v>1154</v>
      </c>
      <c r="D53" s="20">
        <v>13034</v>
      </c>
      <c r="E53" s="20">
        <v>9123</v>
      </c>
      <c r="F53" s="21">
        <f t="shared" si="8"/>
        <v>1361.72</v>
      </c>
      <c r="G53" s="21">
        <f t="shared" si="9"/>
        <v>1565.9779999999998</v>
      </c>
      <c r="H53" s="21">
        <v>15380</v>
      </c>
      <c r="I53" s="21">
        <f t="shared" si="10"/>
        <v>1879.1735999999996</v>
      </c>
      <c r="J53" s="21">
        <f t="shared" si="11"/>
        <v>17687</v>
      </c>
      <c r="K53" s="21">
        <f t="shared" si="12"/>
        <v>10765.14</v>
      </c>
      <c r="L53" s="23">
        <f>ROUND(800*1.18,0)</f>
        <v>944</v>
      </c>
      <c r="M53" s="21">
        <f>ROUND(6830*1.18,0)</f>
        <v>8059</v>
      </c>
      <c r="N53" s="194">
        <f t="shared" si="3"/>
        <v>21224.399999999998</v>
      </c>
      <c r="O53" s="25">
        <f t="shared" si="13"/>
        <v>12379.910999999998</v>
      </c>
      <c r="P53" s="25">
        <f t="shared" si="14"/>
        <v>14855.893199999997</v>
      </c>
      <c r="Q53" s="16"/>
    </row>
    <row r="54" spans="1:17" ht="12.75">
      <c r="A54" s="11">
        <v>28</v>
      </c>
      <c r="B54" s="17" t="s">
        <v>41</v>
      </c>
      <c r="C54" s="22">
        <v>1154</v>
      </c>
      <c r="D54" s="20">
        <v>13034</v>
      </c>
      <c r="E54" s="20">
        <v>9123</v>
      </c>
      <c r="F54" s="21">
        <f t="shared" si="8"/>
        <v>1361.72</v>
      </c>
      <c r="G54" s="21">
        <f t="shared" si="9"/>
        <v>1565.9779999999998</v>
      </c>
      <c r="H54" s="21">
        <v>15380</v>
      </c>
      <c r="I54" s="21">
        <f t="shared" si="10"/>
        <v>1879.1735999999996</v>
      </c>
      <c r="J54" s="21">
        <f t="shared" si="11"/>
        <v>17687</v>
      </c>
      <c r="K54" s="21">
        <f t="shared" si="12"/>
        <v>10765.14</v>
      </c>
      <c r="L54" s="23">
        <f>ROUND(800*1.18,0)</f>
        <v>944</v>
      </c>
      <c r="M54" s="21">
        <f>ROUND(6830*1.18,0)</f>
        <v>8059</v>
      </c>
      <c r="N54" s="194">
        <f t="shared" si="3"/>
        <v>21224.399999999998</v>
      </c>
      <c r="O54" s="25">
        <f t="shared" si="13"/>
        <v>12379.910999999998</v>
      </c>
      <c r="P54" s="25">
        <f t="shared" si="14"/>
        <v>14855.893199999997</v>
      </c>
      <c r="Q54" s="16"/>
    </row>
    <row r="55" spans="1:17" ht="12.75">
      <c r="A55" s="11">
        <v>29</v>
      </c>
      <c r="B55" s="17" t="s">
        <v>42</v>
      </c>
      <c r="C55" s="22">
        <v>757</v>
      </c>
      <c r="D55" s="20">
        <v>7481</v>
      </c>
      <c r="E55" s="20">
        <v>3768</v>
      </c>
      <c r="F55" s="21">
        <f t="shared" si="8"/>
        <v>893.26</v>
      </c>
      <c r="G55" s="21">
        <f t="shared" si="9"/>
        <v>1027.249</v>
      </c>
      <c r="H55" s="21">
        <v>8828</v>
      </c>
      <c r="I55" s="21">
        <f t="shared" si="10"/>
        <v>1232.6988</v>
      </c>
      <c r="J55" s="21">
        <f t="shared" si="11"/>
        <v>10152.199999999999</v>
      </c>
      <c r="K55" s="21">
        <f t="shared" si="12"/>
        <v>4446.24</v>
      </c>
      <c r="L55" s="23">
        <f>ROUND(400*1.18,0)</f>
        <v>472</v>
      </c>
      <c r="M55" s="21">
        <f>ROUND(3920*1.18,0)</f>
        <v>4626</v>
      </c>
      <c r="N55" s="194">
        <f t="shared" si="3"/>
        <v>12182.639999999998</v>
      </c>
      <c r="O55" s="25">
        <f t="shared" si="13"/>
        <v>5113.1759999999995</v>
      </c>
      <c r="P55" s="25">
        <f t="shared" si="14"/>
        <v>6135.811199999999</v>
      </c>
      <c r="Q55" s="16"/>
    </row>
    <row r="56" spans="1:17" ht="12.75">
      <c r="A56" s="11">
        <v>30</v>
      </c>
      <c r="B56" s="17" t="s">
        <v>43</v>
      </c>
      <c r="C56" s="22">
        <v>1154</v>
      </c>
      <c r="D56" s="20">
        <v>9915</v>
      </c>
      <c r="E56" s="20">
        <v>6941</v>
      </c>
      <c r="F56" s="21">
        <f t="shared" si="8"/>
        <v>1361.72</v>
      </c>
      <c r="G56" s="21">
        <f t="shared" si="9"/>
        <v>1565.9779999999998</v>
      </c>
      <c r="H56" s="21">
        <v>11700</v>
      </c>
      <c r="I56" s="21">
        <f t="shared" si="10"/>
        <v>1879.1735999999996</v>
      </c>
      <c r="J56" s="21">
        <f t="shared" si="11"/>
        <v>13454.999999999998</v>
      </c>
      <c r="K56" s="21">
        <f t="shared" si="12"/>
        <v>8190.379999999999</v>
      </c>
      <c r="L56" s="23">
        <f>ROUND(800*1.18,0)</f>
        <v>944</v>
      </c>
      <c r="M56" s="21">
        <f>ROUND(5200*1.18,0)</f>
        <v>6136</v>
      </c>
      <c r="N56" s="194">
        <f t="shared" si="3"/>
        <v>16145.999999999996</v>
      </c>
      <c r="O56" s="25">
        <f t="shared" si="13"/>
        <v>9418.936999999998</v>
      </c>
      <c r="P56" s="25">
        <f t="shared" si="14"/>
        <v>11302.724399999997</v>
      </c>
      <c r="Q56" s="16"/>
    </row>
    <row r="57" spans="1:17" ht="12.75">
      <c r="A57" s="11">
        <v>31</v>
      </c>
      <c r="B57" s="17" t="s">
        <v>44</v>
      </c>
      <c r="C57" s="22">
        <v>956</v>
      </c>
      <c r="D57" s="20">
        <v>8960</v>
      </c>
      <c r="E57" s="20">
        <v>5336</v>
      </c>
      <c r="F57" s="21">
        <f t="shared" si="8"/>
        <v>1128.08</v>
      </c>
      <c r="G57" s="21">
        <f t="shared" si="9"/>
        <v>1297.292</v>
      </c>
      <c r="H57" s="21">
        <v>10573</v>
      </c>
      <c r="I57" s="21">
        <f t="shared" si="10"/>
        <v>1556.7504</v>
      </c>
      <c r="J57" s="21">
        <f t="shared" si="11"/>
        <v>12158.949999999999</v>
      </c>
      <c r="K57" s="21">
        <f t="shared" si="12"/>
        <v>6296.48</v>
      </c>
      <c r="L57" s="23">
        <f>ROUND(500*1.18,0)</f>
        <v>590</v>
      </c>
      <c r="M57" s="21">
        <f>ROUND(4700*1.18,0)</f>
        <v>5546</v>
      </c>
      <c r="N57" s="194">
        <f t="shared" si="3"/>
        <v>14590.739999999998</v>
      </c>
      <c r="O57" s="25">
        <f t="shared" si="13"/>
        <v>7240.951999999999</v>
      </c>
      <c r="P57" s="25">
        <f t="shared" si="14"/>
        <v>8689.142399999999</v>
      </c>
      <c r="Q57" s="16"/>
    </row>
    <row r="58" spans="1:17" ht="13.5" thickBot="1">
      <c r="A58" s="11">
        <v>32</v>
      </c>
      <c r="B58" s="17" t="s">
        <v>45</v>
      </c>
      <c r="C58" s="22" t="s">
        <v>15</v>
      </c>
      <c r="D58" s="20">
        <v>1154</v>
      </c>
      <c r="E58" s="20" t="str">
        <f>E27</f>
        <v>-</v>
      </c>
      <c r="F58" s="21"/>
      <c r="G58" s="21"/>
      <c r="H58" s="21">
        <v>1361.72</v>
      </c>
      <c r="I58" s="21"/>
      <c r="J58" s="21">
        <f t="shared" si="11"/>
        <v>1565.9779999999998</v>
      </c>
      <c r="K58" s="21"/>
      <c r="L58" s="26" t="s">
        <v>15</v>
      </c>
      <c r="M58" s="27">
        <f>ROUND(600*1.18,0)</f>
        <v>708</v>
      </c>
      <c r="N58" s="194">
        <f t="shared" si="3"/>
        <v>1879.1735999999996</v>
      </c>
      <c r="O58" s="25"/>
      <c r="P58" s="25"/>
      <c r="Q58" s="16"/>
    </row>
    <row r="59" spans="1:17" ht="12.75">
      <c r="A59" s="270" t="s">
        <v>46</v>
      </c>
      <c r="B59" s="27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0"/>
      <c r="O59" s="30"/>
      <c r="P59" s="30"/>
      <c r="Q59" s="10"/>
    </row>
    <row r="60" spans="1:17" ht="27" customHeight="1">
      <c r="A60" s="259" t="s">
        <v>47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9"/>
      <c r="P60" s="29"/>
      <c r="Q60" s="10"/>
    </row>
    <row r="61" spans="1:17" ht="12.75">
      <c r="A61" s="259" t="s">
        <v>48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9"/>
      <c r="P61" s="29"/>
      <c r="Q61" s="10"/>
    </row>
    <row r="62" spans="1:17" ht="12.75">
      <c r="A62" s="259" t="s">
        <v>261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</row>
    <row r="63" spans="1:17" ht="42.75" customHeight="1">
      <c r="A63" s="32"/>
      <c r="B63" s="33" t="s">
        <v>74</v>
      </c>
      <c r="C63" s="33"/>
      <c r="D63" s="33"/>
      <c r="E63" s="260" t="s">
        <v>257</v>
      </c>
      <c r="F63" s="261"/>
      <c r="G63" s="261"/>
      <c r="H63" s="261"/>
      <c r="I63" s="177" t="s">
        <v>257</v>
      </c>
      <c r="J63" s="177"/>
      <c r="K63" s="34"/>
      <c r="L63" s="34"/>
      <c r="M63" s="34"/>
      <c r="N63" s="35"/>
      <c r="O63" s="35"/>
      <c r="P63" s="35"/>
      <c r="Q63" s="35"/>
    </row>
    <row r="64" spans="1:17" ht="12.75">
      <c r="A64" s="28"/>
      <c r="B64" s="36"/>
      <c r="C64" s="36"/>
      <c r="D64" s="36"/>
      <c r="E64" s="36"/>
      <c r="F64" s="29"/>
      <c r="G64" s="29"/>
      <c r="H64" s="29"/>
      <c r="I64" s="29"/>
      <c r="J64" s="29"/>
      <c r="K64" s="29"/>
      <c r="L64" s="29"/>
      <c r="M64" s="29"/>
      <c r="N64" s="30"/>
      <c r="O64" s="30"/>
      <c r="P64" s="30"/>
      <c r="Q64" s="10"/>
    </row>
    <row r="65" spans="1:17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</sheetData>
  <sheetProtection/>
  <mergeCells count="30">
    <mergeCell ref="B30:C30"/>
    <mergeCell ref="B31:C31"/>
    <mergeCell ref="B32:C32"/>
    <mergeCell ref="B33:C33"/>
    <mergeCell ref="B46:C46"/>
    <mergeCell ref="B47:C47"/>
    <mergeCell ref="B34:C34"/>
    <mergeCell ref="B43:C43"/>
    <mergeCell ref="B44:C44"/>
    <mergeCell ref="B45:C45"/>
    <mergeCell ref="A10:N10"/>
    <mergeCell ref="A61:N61"/>
    <mergeCell ref="E63:H63"/>
    <mergeCell ref="A62:Q62"/>
    <mergeCell ref="F11:K11"/>
    <mergeCell ref="L11:N11"/>
    <mergeCell ref="Q11:Q12"/>
    <mergeCell ref="A59:B59"/>
    <mergeCell ref="A60:N60"/>
    <mergeCell ref="A11:A12"/>
    <mergeCell ref="B11:B12"/>
    <mergeCell ref="C11:E11"/>
    <mergeCell ref="H4:Q4"/>
    <mergeCell ref="F1:Q1"/>
    <mergeCell ref="F2:Q2"/>
    <mergeCell ref="F3:Q3"/>
    <mergeCell ref="H5:Q5"/>
    <mergeCell ref="A7:N7"/>
    <mergeCell ref="A8:N8"/>
    <mergeCell ref="A9:N9"/>
  </mergeCells>
  <printOptions/>
  <pageMargins left="0.984251968503937" right="0.1968503937007874" top="0.35433070866141736" bottom="0.5511811023622047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30">
      <selection activeCell="B17" sqref="B17"/>
    </sheetView>
  </sheetViews>
  <sheetFormatPr defaultColWidth="9.140625" defaultRowHeight="12.75"/>
  <cols>
    <col min="1" max="1" width="4.28125" style="0" customWidth="1"/>
    <col min="2" max="2" width="54.7109375" style="0" customWidth="1"/>
    <col min="3" max="5" width="9.140625" style="0" hidden="1" customWidth="1"/>
    <col min="6" max="6" width="0.13671875" style="0" customWidth="1"/>
    <col min="7" max="7" width="15.28125" style="0" hidden="1" customWidth="1"/>
    <col min="8" max="8" width="25.8515625" style="0" customWidth="1"/>
  </cols>
  <sheetData>
    <row r="1" spans="1:8" ht="23.25" customHeight="1">
      <c r="A1" s="38"/>
      <c r="B1" s="39"/>
      <c r="C1" s="39" t="s">
        <v>50</v>
      </c>
      <c r="D1" s="275" t="s">
        <v>0</v>
      </c>
      <c r="E1" s="257"/>
      <c r="F1" s="257"/>
      <c r="G1" s="41"/>
      <c r="H1" s="42" t="s">
        <v>0</v>
      </c>
    </row>
    <row r="2" spans="1:8" ht="38.25" hidden="1">
      <c r="A2" s="38"/>
      <c r="B2" s="39"/>
      <c r="C2" s="39" t="s">
        <v>51</v>
      </c>
      <c r="D2" s="40" t="s">
        <v>1</v>
      </c>
      <c r="E2" s="41"/>
      <c r="F2" s="42" t="s">
        <v>1</v>
      </c>
      <c r="G2" s="42"/>
      <c r="H2" s="42"/>
    </row>
    <row r="3" spans="1:8" ht="19.5" customHeight="1">
      <c r="A3" s="38"/>
      <c r="B3" s="39"/>
      <c r="C3" s="39"/>
      <c r="D3" s="40"/>
      <c r="E3" s="41"/>
      <c r="F3" s="42" t="s">
        <v>241</v>
      </c>
      <c r="G3" s="42"/>
      <c r="H3" s="42"/>
    </row>
    <row r="4" spans="1:8" ht="1.5" customHeight="1">
      <c r="A4" s="38"/>
      <c r="B4" s="39"/>
      <c r="C4" s="39"/>
      <c r="D4" s="40"/>
      <c r="E4" s="41"/>
      <c r="F4" s="41"/>
      <c r="G4" s="41"/>
      <c r="H4" s="41"/>
    </row>
    <row r="5" spans="1:8" ht="51" customHeight="1">
      <c r="A5" s="38"/>
      <c r="B5" s="39"/>
      <c r="C5" s="39"/>
      <c r="D5" s="40"/>
      <c r="E5" s="41"/>
      <c r="F5" s="41"/>
      <c r="G5" s="41"/>
      <c r="H5" s="201" t="s">
        <v>271</v>
      </c>
    </row>
    <row r="6" spans="1:8" ht="16.5" customHeight="1">
      <c r="A6" s="38"/>
      <c r="B6" s="39"/>
      <c r="C6" s="38"/>
      <c r="D6" s="45" t="s">
        <v>52</v>
      </c>
      <c r="E6" s="41"/>
      <c r="F6" s="42" t="s">
        <v>245</v>
      </c>
      <c r="G6" s="42"/>
      <c r="H6" s="42"/>
    </row>
    <row r="7" spans="1:8" ht="18.75" customHeight="1">
      <c r="A7" s="38"/>
      <c r="B7" s="39"/>
      <c r="C7" s="46"/>
      <c r="D7" s="276" t="s">
        <v>246</v>
      </c>
      <c r="E7" s="257"/>
      <c r="F7" s="257"/>
      <c r="G7" s="41" t="s">
        <v>262</v>
      </c>
      <c r="H7" s="42" t="s">
        <v>310</v>
      </c>
    </row>
    <row r="8" spans="1:8" ht="12.75">
      <c r="A8" s="38"/>
      <c r="B8" s="39"/>
      <c r="C8" s="46"/>
      <c r="D8" s="45"/>
      <c r="E8" s="41"/>
      <c r="F8" s="41"/>
      <c r="G8" s="41"/>
      <c r="H8" s="41"/>
    </row>
    <row r="9" spans="1:8" ht="12.75">
      <c r="A9" s="38"/>
      <c r="B9" s="39"/>
      <c r="C9" s="46"/>
      <c r="D9" s="45"/>
      <c r="E9" s="41"/>
      <c r="F9" s="47"/>
      <c r="G9" s="47"/>
      <c r="H9" s="47"/>
    </row>
    <row r="10" spans="1:8" ht="15.75">
      <c r="A10" s="273" t="s">
        <v>2</v>
      </c>
      <c r="B10" s="273"/>
      <c r="C10" s="273"/>
      <c r="D10" s="274"/>
      <c r="E10" s="274"/>
      <c r="F10" s="274"/>
      <c r="G10" s="44"/>
      <c r="H10" s="44"/>
    </row>
    <row r="11" spans="1:8" ht="15.75">
      <c r="A11" s="273" t="s">
        <v>53</v>
      </c>
      <c r="B11" s="273"/>
      <c r="C11" s="273"/>
      <c r="D11" s="274"/>
      <c r="E11" s="274"/>
      <c r="F11" s="274"/>
      <c r="G11" s="44"/>
      <c r="H11" s="44"/>
    </row>
    <row r="12" spans="1:8" ht="15.75">
      <c r="A12" s="273" t="s">
        <v>54</v>
      </c>
      <c r="B12" s="273"/>
      <c r="C12" s="273"/>
      <c r="D12" s="274"/>
      <c r="E12" s="274"/>
      <c r="F12" s="274"/>
      <c r="G12" s="44"/>
      <c r="H12" s="44"/>
    </row>
    <row r="13" spans="1:8" ht="15">
      <c r="A13" s="282" t="s">
        <v>311</v>
      </c>
      <c r="B13" s="282"/>
      <c r="C13" s="282"/>
      <c r="D13" s="274"/>
      <c r="E13" s="274"/>
      <c r="F13" s="274"/>
      <c r="G13" s="44"/>
      <c r="H13" s="44"/>
    </row>
    <row r="14" spans="1:8" ht="12.75">
      <c r="A14" s="283"/>
      <c r="B14" s="283"/>
      <c r="C14" s="46"/>
      <c r="D14" s="48"/>
      <c r="E14" s="48"/>
      <c r="F14" s="48"/>
      <c r="G14" s="48"/>
      <c r="H14" s="48"/>
    </row>
    <row r="15" spans="1:8" ht="12.75">
      <c r="A15" s="253" t="s">
        <v>5</v>
      </c>
      <c r="B15" s="253" t="s">
        <v>55</v>
      </c>
      <c r="C15" s="253" t="s">
        <v>56</v>
      </c>
      <c r="D15" s="253" t="s">
        <v>57</v>
      </c>
      <c r="E15" s="278" t="s">
        <v>58</v>
      </c>
      <c r="F15" s="279" t="s">
        <v>247</v>
      </c>
      <c r="G15" s="279" t="s">
        <v>247</v>
      </c>
      <c r="H15" s="279" t="s">
        <v>247</v>
      </c>
    </row>
    <row r="16" spans="1:8" ht="24" customHeight="1">
      <c r="A16" s="253"/>
      <c r="B16" s="253"/>
      <c r="C16" s="253"/>
      <c r="D16" s="253"/>
      <c r="E16" s="278"/>
      <c r="F16" s="279"/>
      <c r="G16" s="279"/>
      <c r="H16" s="279"/>
    </row>
    <row r="17" spans="1:8" ht="25.5">
      <c r="A17" s="49">
        <v>1</v>
      </c>
      <c r="B17" s="50" t="s">
        <v>59</v>
      </c>
      <c r="C17" s="51"/>
      <c r="D17" s="52">
        <v>843</v>
      </c>
      <c r="E17" s="52">
        <f aca="true" t="shared" si="0" ref="E17:E29">F17-D17</f>
        <v>151.7399999999999</v>
      </c>
      <c r="F17" s="173">
        <f aca="true" t="shared" si="1" ref="F17:F29">D17*1.18</f>
        <v>994.7399999999999</v>
      </c>
      <c r="G17" s="173">
        <f aca="true" t="shared" si="2" ref="G17:G29">F17*1.15</f>
        <v>1143.9509999999998</v>
      </c>
      <c r="H17" s="173">
        <f>G17*1.2</f>
        <v>1372.7411999999997</v>
      </c>
    </row>
    <row r="18" spans="1:8" ht="12.75">
      <c r="A18" s="49">
        <v>2</v>
      </c>
      <c r="B18" s="50" t="s">
        <v>60</v>
      </c>
      <c r="C18" s="51"/>
      <c r="D18" s="52">
        <v>926</v>
      </c>
      <c r="E18" s="52">
        <f t="shared" si="0"/>
        <v>166.67999999999984</v>
      </c>
      <c r="F18" s="173">
        <f t="shared" si="1"/>
        <v>1092.6799999999998</v>
      </c>
      <c r="G18" s="173">
        <f t="shared" si="2"/>
        <v>1256.5819999999997</v>
      </c>
      <c r="H18" s="173">
        <f aca="true" t="shared" si="3" ref="H18:H29">G18*1.2</f>
        <v>1507.8983999999996</v>
      </c>
    </row>
    <row r="19" spans="1:8" ht="12.75">
      <c r="A19" s="49">
        <v>3</v>
      </c>
      <c r="B19" s="50" t="s">
        <v>61</v>
      </c>
      <c r="C19" s="51"/>
      <c r="D19" s="52">
        <v>422</v>
      </c>
      <c r="E19" s="52">
        <f t="shared" si="0"/>
        <v>75.95999999999998</v>
      </c>
      <c r="F19" s="173">
        <f t="shared" si="1"/>
        <v>497.96</v>
      </c>
      <c r="G19" s="173">
        <f t="shared" si="2"/>
        <v>572.6539999999999</v>
      </c>
      <c r="H19" s="173">
        <f t="shared" si="3"/>
        <v>687.1847999999999</v>
      </c>
    </row>
    <row r="20" spans="1:8" ht="12.75">
      <c r="A20" s="49">
        <v>4</v>
      </c>
      <c r="B20" s="50" t="s">
        <v>62</v>
      </c>
      <c r="C20" s="51"/>
      <c r="D20" s="52">
        <v>463</v>
      </c>
      <c r="E20" s="52">
        <f t="shared" si="0"/>
        <v>83.33999999999992</v>
      </c>
      <c r="F20" s="173">
        <f t="shared" si="1"/>
        <v>546.3399999999999</v>
      </c>
      <c r="G20" s="173">
        <f t="shared" si="2"/>
        <v>628.2909999999998</v>
      </c>
      <c r="H20" s="173">
        <f t="shared" si="3"/>
        <v>753.9491999999998</v>
      </c>
    </row>
    <row r="21" spans="1:8" ht="12.75">
      <c r="A21" s="49">
        <v>5</v>
      </c>
      <c r="B21" s="50" t="s">
        <v>63</v>
      </c>
      <c r="C21" s="51"/>
      <c r="D21" s="52">
        <v>505</v>
      </c>
      <c r="E21" s="52">
        <f t="shared" si="0"/>
        <v>90.89999999999998</v>
      </c>
      <c r="F21" s="173">
        <f t="shared" si="1"/>
        <v>595.9</v>
      </c>
      <c r="G21" s="173">
        <f t="shared" si="2"/>
        <v>685.285</v>
      </c>
      <c r="H21" s="173">
        <f t="shared" si="3"/>
        <v>822.342</v>
      </c>
    </row>
    <row r="22" spans="1:8" ht="12.75">
      <c r="A22" s="49">
        <v>6</v>
      </c>
      <c r="B22" s="50" t="s">
        <v>64</v>
      </c>
      <c r="C22" s="51"/>
      <c r="D22" s="52">
        <v>843</v>
      </c>
      <c r="E22" s="52">
        <f t="shared" si="0"/>
        <v>151.7399999999999</v>
      </c>
      <c r="F22" s="173">
        <f t="shared" si="1"/>
        <v>994.7399999999999</v>
      </c>
      <c r="G22" s="173">
        <f t="shared" si="2"/>
        <v>1143.9509999999998</v>
      </c>
      <c r="H22" s="173">
        <f t="shared" si="3"/>
        <v>1372.7411999999997</v>
      </c>
    </row>
    <row r="23" spans="1:8" ht="12.75">
      <c r="A23" s="49">
        <v>7</v>
      </c>
      <c r="B23" s="50" t="s">
        <v>65</v>
      </c>
      <c r="C23" s="51"/>
      <c r="D23" s="52">
        <v>569</v>
      </c>
      <c r="E23" s="52">
        <f t="shared" si="0"/>
        <v>102.41999999999996</v>
      </c>
      <c r="F23" s="173">
        <f t="shared" si="1"/>
        <v>671.42</v>
      </c>
      <c r="G23" s="173">
        <f t="shared" si="2"/>
        <v>772.1329999999999</v>
      </c>
      <c r="H23" s="173">
        <f t="shared" si="3"/>
        <v>926.5595999999998</v>
      </c>
    </row>
    <row r="24" spans="1:8" ht="12.75">
      <c r="A24" s="49">
        <v>8</v>
      </c>
      <c r="B24" s="50" t="s">
        <v>66</v>
      </c>
      <c r="C24" s="51"/>
      <c r="D24" s="52">
        <v>884</v>
      </c>
      <c r="E24" s="52">
        <f t="shared" si="0"/>
        <v>159.1199999999999</v>
      </c>
      <c r="F24" s="173">
        <f t="shared" si="1"/>
        <v>1043.12</v>
      </c>
      <c r="G24" s="173">
        <f t="shared" si="2"/>
        <v>1199.5879999999997</v>
      </c>
      <c r="H24" s="173">
        <f t="shared" si="3"/>
        <v>1439.5055999999997</v>
      </c>
    </row>
    <row r="25" spans="1:8" ht="25.5">
      <c r="A25" s="49">
        <v>9</v>
      </c>
      <c r="B25" s="50" t="s">
        <v>67</v>
      </c>
      <c r="C25" s="51"/>
      <c r="D25" s="52">
        <v>926</v>
      </c>
      <c r="E25" s="52">
        <f t="shared" si="0"/>
        <v>166.67999999999984</v>
      </c>
      <c r="F25" s="173">
        <f t="shared" si="1"/>
        <v>1092.6799999999998</v>
      </c>
      <c r="G25" s="173">
        <f t="shared" si="2"/>
        <v>1256.5819999999997</v>
      </c>
      <c r="H25" s="173">
        <f t="shared" si="3"/>
        <v>1507.8983999999996</v>
      </c>
    </row>
    <row r="26" spans="1:8" ht="12.75">
      <c r="A26" s="49">
        <v>10</v>
      </c>
      <c r="B26" s="50" t="s">
        <v>68</v>
      </c>
      <c r="C26" s="51"/>
      <c r="D26" s="52">
        <v>569</v>
      </c>
      <c r="E26" s="52">
        <f t="shared" si="0"/>
        <v>102.41999999999996</v>
      </c>
      <c r="F26" s="173">
        <f t="shared" si="1"/>
        <v>671.42</v>
      </c>
      <c r="G26" s="173">
        <f t="shared" si="2"/>
        <v>772.1329999999999</v>
      </c>
      <c r="H26" s="173">
        <f t="shared" si="3"/>
        <v>926.5595999999998</v>
      </c>
    </row>
    <row r="27" spans="1:8" ht="12.75">
      <c r="A27" s="49">
        <v>11</v>
      </c>
      <c r="B27" s="50" t="s">
        <v>69</v>
      </c>
      <c r="C27" s="51"/>
      <c r="D27" s="52">
        <v>1137</v>
      </c>
      <c r="E27" s="52">
        <f t="shared" si="0"/>
        <v>204.65999999999985</v>
      </c>
      <c r="F27" s="173">
        <f t="shared" si="1"/>
        <v>1341.6599999999999</v>
      </c>
      <c r="G27" s="173">
        <f t="shared" si="2"/>
        <v>1542.9089999999997</v>
      </c>
      <c r="H27" s="173">
        <f t="shared" si="3"/>
        <v>1851.4907999999996</v>
      </c>
    </row>
    <row r="28" spans="1:8" ht="12.75">
      <c r="A28" s="49">
        <v>12</v>
      </c>
      <c r="B28" s="50" t="s">
        <v>70</v>
      </c>
      <c r="C28" s="51"/>
      <c r="D28" s="52">
        <v>990</v>
      </c>
      <c r="E28" s="52">
        <f t="shared" si="0"/>
        <v>178.20000000000005</v>
      </c>
      <c r="F28" s="173">
        <f t="shared" si="1"/>
        <v>1168.2</v>
      </c>
      <c r="G28" s="173">
        <f t="shared" si="2"/>
        <v>1343.4299999999998</v>
      </c>
      <c r="H28" s="173">
        <f t="shared" si="3"/>
        <v>1612.1159999999998</v>
      </c>
    </row>
    <row r="29" spans="1:8" ht="12.75">
      <c r="A29" s="49">
        <v>13</v>
      </c>
      <c r="B29" s="50" t="s">
        <v>71</v>
      </c>
      <c r="C29" s="51"/>
      <c r="D29" s="52">
        <v>1179</v>
      </c>
      <c r="E29" s="52">
        <f t="shared" si="0"/>
        <v>212.22000000000003</v>
      </c>
      <c r="F29" s="173">
        <f t="shared" si="1"/>
        <v>1391.22</v>
      </c>
      <c r="G29" s="173">
        <f t="shared" si="2"/>
        <v>1599.903</v>
      </c>
      <c r="H29" s="173">
        <f t="shared" si="3"/>
        <v>1919.8836</v>
      </c>
    </row>
    <row r="30" spans="1:8" ht="42.75" customHeight="1">
      <c r="A30" s="280" t="s">
        <v>46</v>
      </c>
      <c r="B30" s="280"/>
      <c r="C30" s="53"/>
      <c r="D30" s="48"/>
      <c r="E30" s="48"/>
      <c r="F30" s="48"/>
      <c r="G30" s="48"/>
      <c r="H30" s="48"/>
    </row>
    <row r="31" spans="1:8" ht="3" customHeight="1">
      <c r="A31" s="281"/>
      <c r="B31" s="281"/>
      <c r="C31" s="53"/>
      <c r="D31" s="48"/>
      <c r="E31" s="48"/>
      <c r="F31" s="48"/>
      <c r="G31" s="48"/>
      <c r="H31" s="48"/>
    </row>
    <row r="32" spans="1:8" ht="12.75">
      <c r="A32" s="277" t="s">
        <v>72</v>
      </c>
      <c r="B32" s="277"/>
      <c r="C32" s="277"/>
      <c r="D32" s="274"/>
      <c r="E32" s="274"/>
      <c r="F32" s="274"/>
      <c r="G32" s="44"/>
      <c r="H32" s="44"/>
    </row>
    <row r="33" spans="1:8" ht="12.75">
      <c r="A33" s="277"/>
      <c r="B33" s="277"/>
      <c r="C33" s="277"/>
      <c r="D33" s="274"/>
      <c r="E33" s="274"/>
      <c r="F33" s="274"/>
      <c r="G33" s="44"/>
      <c r="H33" s="44"/>
    </row>
    <row r="34" spans="1:8" ht="7.5" customHeight="1">
      <c r="A34" s="43"/>
      <c r="B34" s="43"/>
      <c r="C34" s="43"/>
      <c r="D34" s="44"/>
      <c r="E34" s="48"/>
      <c r="F34" s="48"/>
      <c r="G34" s="48"/>
      <c r="H34" s="48"/>
    </row>
    <row r="35" spans="1:17" ht="12.75">
      <c r="A35" s="259" t="s">
        <v>263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</row>
    <row r="36" spans="1:8" ht="12.75">
      <c r="A36" s="43"/>
      <c r="B36" s="43"/>
      <c r="C36" s="53"/>
      <c r="D36" s="48"/>
      <c r="E36" s="48"/>
      <c r="F36" s="48"/>
      <c r="G36" s="48"/>
      <c r="H36" s="48"/>
    </row>
    <row r="37" spans="1:11" ht="12.75">
      <c r="A37" s="43"/>
      <c r="B37" s="54" t="s">
        <v>74</v>
      </c>
      <c r="C37" s="53"/>
      <c r="D37" s="55" t="s">
        <v>73</v>
      </c>
      <c r="E37" s="48"/>
      <c r="F37" s="55" t="s">
        <v>248</v>
      </c>
      <c r="G37" s="260" t="s">
        <v>257</v>
      </c>
      <c r="H37" s="260"/>
      <c r="I37" s="261"/>
      <c r="J37" s="261"/>
      <c r="K37" s="261"/>
    </row>
  </sheetData>
  <sheetProtection/>
  <mergeCells count="20">
    <mergeCell ref="A13:F13"/>
    <mergeCell ref="A14:B14"/>
    <mergeCell ref="G15:G16"/>
    <mergeCell ref="D15:D16"/>
    <mergeCell ref="A30:B30"/>
    <mergeCell ref="A31:B31"/>
    <mergeCell ref="A15:A16"/>
    <mergeCell ref="B15:B16"/>
    <mergeCell ref="C15:C16"/>
    <mergeCell ref="H15:H16"/>
    <mergeCell ref="A11:F11"/>
    <mergeCell ref="A12:F12"/>
    <mergeCell ref="D1:F1"/>
    <mergeCell ref="D7:F7"/>
    <mergeCell ref="A10:F10"/>
    <mergeCell ref="G37:K37"/>
    <mergeCell ref="A35:Q35"/>
    <mergeCell ref="A32:F33"/>
    <mergeCell ref="E15:E16"/>
    <mergeCell ref="F15:F16"/>
  </mergeCells>
  <printOptions/>
  <pageMargins left="0.7874015748031497" right="0.1968503937007874" top="0.472440944881889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00">
      <selection activeCell="A13" sqref="A13:N13"/>
    </sheetView>
  </sheetViews>
  <sheetFormatPr defaultColWidth="9.140625" defaultRowHeight="12.75"/>
  <cols>
    <col min="1" max="1" width="4.28125" style="0" customWidth="1"/>
    <col min="2" max="2" width="35.28125" style="0" customWidth="1"/>
    <col min="3" max="5" width="9.140625" style="0" hidden="1" customWidth="1"/>
    <col min="6" max="6" width="15.140625" style="0" hidden="1" customWidth="1"/>
    <col min="7" max="7" width="12.57421875" style="0" hidden="1" customWidth="1"/>
    <col min="8" max="8" width="0.13671875" style="0" hidden="1" customWidth="1"/>
    <col min="9" max="9" width="0.5625" style="0" hidden="1" customWidth="1"/>
    <col min="10" max="10" width="0.13671875" style="0" hidden="1" customWidth="1"/>
    <col min="11" max="11" width="11.00390625" style="0" customWidth="1"/>
    <col min="12" max="14" width="0" style="0" hidden="1" customWidth="1"/>
    <col min="15" max="15" width="9.140625" style="0" hidden="1" customWidth="1"/>
    <col min="16" max="16" width="14.8515625" style="0" customWidth="1"/>
    <col min="17" max="17" width="0.13671875" style="0" hidden="1" customWidth="1"/>
    <col min="18" max="18" width="10.28125" style="0" customWidth="1"/>
    <col min="19" max="19" width="11.8515625" style="0" customWidth="1"/>
  </cols>
  <sheetData>
    <row r="1" spans="11:20" ht="12.75">
      <c r="K1" s="200" t="s">
        <v>0</v>
      </c>
      <c r="L1" s="200"/>
      <c r="M1" s="200"/>
      <c r="N1" s="200"/>
      <c r="O1" s="200"/>
      <c r="P1" s="200"/>
      <c r="Q1" s="200"/>
      <c r="R1" s="200"/>
      <c r="S1" s="200"/>
      <c r="T1" s="200"/>
    </row>
    <row r="2" spans="11:20" ht="12.75">
      <c r="K2" s="200" t="s">
        <v>242</v>
      </c>
      <c r="L2" s="200"/>
      <c r="M2" s="200"/>
      <c r="N2" s="200"/>
      <c r="O2" s="200"/>
      <c r="P2" s="200"/>
      <c r="Q2" s="200"/>
      <c r="R2" s="200"/>
      <c r="S2" s="200"/>
      <c r="T2" s="200"/>
    </row>
    <row r="3" spans="11:20" ht="12.75">
      <c r="K3" s="200"/>
      <c r="L3" s="200"/>
      <c r="M3" s="200"/>
      <c r="N3" s="200"/>
      <c r="O3" s="200"/>
      <c r="P3" s="200"/>
      <c r="Q3" s="200"/>
      <c r="R3" s="200"/>
      <c r="S3" s="200"/>
      <c r="T3" s="200"/>
    </row>
    <row r="4" spans="11:20" ht="12.75">
      <c r="K4" s="200" t="s">
        <v>270</v>
      </c>
      <c r="L4" s="200"/>
      <c r="M4" s="200"/>
      <c r="N4" s="200"/>
      <c r="O4" s="200"/>
      <c r="P4" s="200"/>
      <c r="Q4" s="200"/>
      <c r="R4" s="200"/>
      <c r="S4" s="200"/>
      <c r="T4" s="200"/>
    </row>
    <row r="5" spans="11:20" ht="12.75">
      <c r="K5" s="200"/>
      <c r="L5" s="200"/>
      <c r="M5" s="200"/>
      <c r="N5" s="200"/>
      <c r="O5" s="200"/>
      <c r="P5" s="200"/>
      <c r="Q5" s="200"/>
      <c r="R5" s="200"/>
      <c r="S5" s="200"/>
      <c r="T5" s="200"/>
    </row>
    <row r="6" spans="11:20" ht="12.75">
      <c r="K6" s="275" t="s">
        <v>312</v>
      </c>
      <c r="L6" s="275"/>
      <c r="M6" s="275"/>
      <c r="N6" s="293"/>
      <c r="O6" s="293"/>
      <c r="P6" s="293"/>
      <c r="Q6" s="293"/>
      <c r="R6" s="293"/>
      <c r="S6" s="293"/>
      <c r="T6" s="293"/>
    </row>
    <row r="7" spans="1:18" ht="11.25" customHeight="1">
      <c r="A7" s="149"/>
      <c r="B7" s="150"/>
      <c r="C7" s="150"/>
      <c r="D7" s="150"/>
      <c r="E7" s="85"/>
      <c r="F7" s="59"/>
      <c r="G7" s="59"/>
      <c r="R7" s="190"/>
    </row>
    <row r="8" spans="1:18" ht="2.25" customHeight="1" hidden="1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151"/>
      <c r="P8" s="151"/>
      <c r="Q8" s="152"/>
      <c r="R8" s="152"/>
    </row>
    <row r="9" spans="1:18" ht="12" customHeight="1">
      <c r="A9" s="273" t="s">
        <v>2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180"/>
      <c r="P9" s="180"/>
      <c r="Q9" s="55"/>
      <c r="R9" s="55"/>
    </row>
    <row r="10" spans="1:18" ht="12.75" customHeight="1">
      <c r="A10" s="273" t="s">
        <v>3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180"/>
      <c r="P10" s="180"/>
      <c r="Q10" s="55"/>
      <c r="R10" s="55"/>
    </row>
    <row r="11" spans="1:18" ht="12.75" customHeight="1">
      <c r="A11" s="273" t="s">
        <v>76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180"/>
      <c r="P11" s="180"/>
      <c r="Q11" s="55"/>
      <c r="R11" s="55"/>
    </row>
    <row r="12" spans="1:18" ht="12.7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55"/>
      <c r="R12" s="55"/>
    </row>
    <row r="13" spans="1:18" ht="12.75" customHeight="1">
      <c r="A13" s="294" t="s">
        <v>313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180"/>
      <c r="P13" s="180"/>
      <c r="Q13" s="55"/>
      <c r="R13" s="55"/>
    </row>
    <row r="14" spans="1:18" ht="12.75" customHeight="1" thickBot="1">
      <c r="A14" s="297"/>
      <c r="B14" s="29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51"/>
      <c r="O14" s="151"/>
      <c r="P14" s="151"/>
      <c r="Q14" s="64">
        <v>1.058</v>
      </c>
      <c r="R14" s="64"/>
    </row>
    <row r="15" spans="1:19" ht="47.25" customHeight="1">
      <c r="A15" s="287" t="s">
        <v>5</v>
      </c>
      <c r="B15" s="288" t="s">
        <v>77</v>
      </c>
      <c r="C15" s="289" t="s">
        <v>7</v>
      </c>
      <c r="D15" s="290"/>
      <c r="E15" s="291"/>
      <c r="F15" s="287" t="s">
        <v>249</v>
      </c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95" t="s">
        <v>260</v>
      </c>
    </row>
    <row r="16" spans="1:19" ht="40.5" customHeight="1">
      <c r="A16" s="287"/>
      <c r="B16" s="288"/>
      <c r="C16" s="153" t="s">
        <v>10</v>
      </c>
      <c r="D16" s="154" t="s">
        <v>11</v>
      </c>
      <c r="E16" s="155" t="s">
        <v>12</v>
      </c>
      <c r="F16" s="148" t="s">
        <v>10</v>
      </c>
      <c r="G16" s="148"/>
      <c r="H16" s="148" t="s">
        <v>11</v>
      </c>
      <c r="I16" s="148" t="s">
        <v>10</v>
      </c>
      <c r="J16" s="148" t="s">
        <v>11</v>
      </c>
      <c r="K16" s="148" t="s">
        <v>10</v>
      </c>
      <c r="L16" s="153" t="s">
        <v>10</v>
      </c>
      <c r="M16" s="154" t="s">
        <v>11</v>
      </c>
      <c r="N16" s="155" t="s">
        <v>12</v>
      </c>
      <c r="O16" s="148" t="s">
        <v>11</v>
      </c>
      <c r="P16" s="148" t="s">
        <v>11</v>
      </c>
      <c r="Q16" s="187" t="s">
        <v>12</v>
      </c>
      <c r="R16" s="187" t="s">
        <v>12</v>
      </c>
      <c r="S16" s="296"/>
    </row>
    <row r="17" spans="1:19" ht="25.5">
      <c r="A17" s="65">
        <v>1</v>
      </c>
      <c r="B17" s="76" t="s">
        <v>250</v>
      </c>
      <c r="C17" s="67">
        <v>8750</v>
      </c>
      <c r="D17" s="66"/>
      <c r="E17" s="66"/>
      <c r="F17" s="171">
        <f>C17*1.18</f>
        <v>10325</v>
      </c>
      <c r="G17" s="171">
        <f aca="true" t="shared" si="0" ref="G17:G71">F17*1.15</f>
        <v>11873.749999999998</v>
      </c>
      <c r="H17" s="171"/>
      <c r="I17" s="171">
        <f>F17*1.15</f>
        <v>11873.749999999998</v>
      </c>
      <c r="J17" s="171"/>
      <c r="K17" s="162">
        <v>16249</v>
      </c>
      <c r="L17" s="73">
        <f>F17*1.18</f>
        <v>12183.5</v>
      </c>
      <c r="M17" s="73">
        <f>H17*1.18</f>
        <v>0</v>
      </c>
      <c r="N17" s="73">
        <f>K17*1.18</f>
        <v>19173.82</v>
      </c>
      <c r="O17" s="73"/>
      <c r="P17" s="73"/>
      <c r="Q17" s="70"/>
      <c r="R17" s="70"/>
      <c r="S17" s="186"/>
    </row>
    <row r="18" spans="1:19" ht="25.5">
      <c r="A18" s="65">
        <v>2</v>
      </c>
      <c r="B18" s="76" t="s">
        <v>78</v>
      </c>
      <c r="C18" s="71">
        <v>6800</v>
      </c>
      <c r="D18" s="66"/>
      <c r="E18" s="66"/>
      <c r="F18" s="171">
        <f>C18*1.18</f>
        <v>8024</v>
      </c>
      <c r="G18" s="171">
        <f t="shared" si="0"/>
        <v>9227.599999999999</v>
      </c>
      <c r="H18" s="171"/>
      <c r="I18" s="171">
        <f>F18*1.15</f>
        <v>9227.599999999999</v>
      </c>
      <c r="J18" s="171"/>
      <c r="K18" s="162">
        <f>I18*1.2</f>
        <v>11073.119999999997</v>
      </c>
      <c r="L18" s="161">
        <f>ROUND(3500*1.18,0)</f>
        <v>4130</v>
      </c>
      <c r="M18" s="162"/>
      <c r="N18" s="163"/>
      <c r="O18" s="163"/>
      <c r="P18" s="163"/>
      <c r="Q18" s="70"/>
      <c r="R18" s="70"/>
      <c r="S18" s="186"/>
    </row>
    <row r="19" spans="1:19" ht="12.75">
      <c r="A19" s="156"/>
      <c r="B19" s="72" t="s">
        <v>79</v>
      </c>
      <c r="C19" s="73"/>
      <c r="D19" s="74"/>
      <c r="E19" s="74"/>
      <c r="F19" s="171"/>
      <c r="G19" s="171">
        <f t="shared" si="0"/>
        <v>0</v>
      </c>
      <c r="H19" s="171"/>
      <c r="I19" s="171"/>
      <c r="J19" s="171"/>
      <c r="K19" s="162"/>
      <c r="L19" s="157"/>
      <c r="M19" s="158"/>
      <c r="N19" s="159"/>
      <c r="O19" s="159"/>
      <c r="P19" s="159"/>
      <c r="Q19" s="160"/>
      <c r="R19" s="160"/>
      <c r="S19" s="186"/>
    </row>
    <row r="20" spans="1:19" ht="12.75">
      <c r="A20" s="156">
        <v>3</v>
      </c>
      <c r="B20" s="76" t="s">
        <v>80</v>
      </c>
      <c r="C20" s="73">
        <v>2334</v>
      </c>
      <c r="D20" s="74">
        <v>29940</v>
      </c>
      <c r="E20" s="74" t="s">
        <v>15</v>
      </c>
      <c r="F20" s="171">
        <f>C20*1.18</f>
        <v>2754.12</v>
      </c>
      <c r="G20" s="171">
        <f t="shared" si="0"/>
        <v>3167.238</v>
      </c>
      <c r="H20" s="171">
        <f aca="true" t="shared" si="1" ref="H20:H28">D20*1.18</f>
        <v>35329.2</v>
      </c>
      <c r="I20" s="171">
        <f>F20*1.15</f>
        <v>3167.238</v>
      </c>
      <c r="J20" s="171">
        <f aca="true" t="shared" si="2" ref="J20:J27">H20*1.15</f>
        <v>40628.579999999994</v>
      </c>
      <c r="K20" s="162">
        <f>I20*1.2</f>
        <v>3800.6856</v>
      </c>
      <c r="L20" s="161">
        <f>ROUND(1200*1.18,0)</f>
        <v>1416</v>
      </c>
      <c r="M20" s="162">
        <f>ROUND(15400*1.18,0)</f>
        <v>18172</v>
      </c>
      <c r="N20" s="246" t="s">
        <v>15</v>
      </c>
      <c r="O20" s="163">
        <f aca="true" t="shared" si="3" ref="O20:O29">J20*1.15</f>
        <v>46722.86699999999</v>
      </c>
      <c r="P20" s="163">
        <f>O20*1.2</f>
        <v>56067.440399999985</v>
      </c>
      <c r="Q20" s="189"/>
      <c r="R20" s="189"/>
      <c r="S20" s="186"/>
    </row>
    <row r="21" spans="1:19" ht="12.75">
      <c r="A21" s="156">
        <v>4</v>
      </c>
      <c r="B21" s="76" t="s">
        <v>81</v>
      </c>
      <c r="C21" s="73">
        <v>2334</v>
      </c>
      <c r="D21" s="74">
        <v>34425</v>
      </c>
      <c r="E21" s="74" t="s">
        <v>15</v>
      </c>
      <c r="F21" s="171">
        <f>C21*1.18</f>
        <v>2754.12</v>
      </c>
      <c r="G21" s="171">
        <f t="shared" si="0"/>
        <v>3167.238</v>
      </c>
      <c r="H21" s="171">
        <f t="shared" si="1"/>
        <v>40621.5</v>
      </c>
      <c r="I21" s="171">
        <f>F21*1.15</f>
        <v>3167.238</v>
      </c>
      <c r="J21" s="171">
        <f t="shared" si="2"/>
        <v>46714.725</v>
      </c>
      <c r="K21" s="162">
        <f>I21*1.2</f>
        <v>3800.6856</v>
      </c>
      <c r="L21" s="161">
        <f>ROUND(1200*1.18,0)</f>
        <v>1416</v>
      </c>
      <c r="M21" s="162">
        <f>ROUND(17700*1.18,0)</f>
        <v>20886</v>
      </c>
      <c r="N21" s="246" t="s">
        <v>15</v>
      </c>
      <c r="O21" s="163">
        <f t="shared" si="3"/>
        <v>53721.93375</v>
      </c>
      <c r="P21" s="163">
        <f aca="true" t="shared" si="4" ref="P21:P107">O21*1.2</f>
        <v>64466.320499999994</v>
      </c>
      <c r="Q21" s="189"/>
      <c r="R21" s="189"/>
      <c r="S21" s="186"/>
    </row>
    <row r="22" spans="1:19" ht="12.75">
      <c r="A22" s="156">
        <v>5</v>
      </c>
      <c r="B22" s="76" t="s">
        <v>82</v>
      </c>
      <c r="C22" s="73">
        <v>2628</v>
      </c>
      <c r="D22" s="74">
        <v>25144</v>
      </c>
      <c r="E22" s="74" t="s">
        <v>15</v>
      </c>
      <c r="F22" s="171">
        <f>C22*1.18</f>
        <v>3101.04</v>
      </c>
      <c r="G22" s="171">
        <f t="shared" si="0"/>
        <v>3566.1959999999995</v>
      </c>
      <c r="H22" s="171">
        <f t="shared" si="1"/>
        <v>29669.92</v>
      </c>
      <c r="I22" s="171">
        <f>F22*1.15</f>
        <v>3566.1959999999995</v>
      </c>
      <c r="J22" s="171">
        <f t="shared" si="2"/>
        <v>34120.407999999996</v>
      </c>
      <c r="K22" s="162">
        <f>I22*1.2</f>
        <v>4279.435199999999</v>
      </c>
      <c r="L22" s="161">
        <f>ROUND(1350*1.18,0)</f>
        <v>1593</v>
      </c>
      <c r="M22" s="162">
        <f>ROUND(12930*1.18,0)</f>
        <v>15257</v>
      </c>
      <c r="N22" s="246" t="s">
        <v>15</v>
      </c>
      <c r="O22" s="163">
        <f t="shared" si="3"/>
        <v>39238.46919999999</v>
      </c>
      <c r="P22" s="163">
        <f t="shared" si="4"/>
        <v>47086.16303999999</v>
      </c>
      <c r="Q22" s="189"/>
      <c r="R22" s="189"/>
      <c r="S22" s="186"/>
    </row>
    <row r="23" spans="1:19" ht="12.75">
      <c r="A23" s="156">
        <v>6</v>
      </c>
      <c r="B23" s="76" t="s">
        <v>83</v>
      </c>
      <c r="C23" s="73" t="s">
        <v>15</v>
      </c>
      <c r="D23" s="74">
        <v>27037</v>
      </c>
      <c r="E23" s="74" t="s">
        <v>15</v>
      </c>
      <c r="F23" s="171"/>
      <c r="G23" s="171">
        <f t="shared" si="0"/>
        <v>0</v>
      </c>
      <c r="H23" s="171">
        <f t="shared" si="1"/>
        <v>31903.66</v>
      </c>
      <c r="I23" s="171"/>
      <c r="J23" s="171">
        <f t="shared" si="2"/>
        <v>36689.208999999995</v>
      </c>
      <c r="K23" s="162"/>
      <c r="L23" s="161" t="s">
        <v>15</v>
      </c>
      <c r="M23" s="162">
        <f>ROUND(13900*1.18,0)</f>
        <v>16402</v>
      </c>
      <c r="N23" s="246" t="s">
        <v>15</v>
      </c>
      <c r="O23" s="163">
        <f t="shared" si="3"/>
        <v>42192.59034999999</v>
      </c>
      <c r="P23" s="163">
        <f t="shared" si="4"/>
        <v>50631.10841999999</v>
      </c>
      <c r="Q23" s="189"/>
      <c r="R23" s="189"/>
      <c r="S23" s="186"/>
    </row>
    <row r="24" spans="1:19" ht="12.75">
      <c r="A24" s="156">
        <v>7</v>
      </c>
      <c r="B24" s="76" t="s">
        <v>84</v>
      </c>
      <c r="C24" s="73" t="s">
        <v>15</v>
      </c>
      <c r="D24" s="74">
        <v>30731</v>
      </c>
      <c r="E24" s="74" t="s">
        <v>15</v>
      </c>
      <c r="F24" s="171"/>
      <c r="G24" s="171">
        <f t="shared" si="0"/>
        <v>0</v>
      </c>
      <c r="H24" s="171">
        <f t="shared" si="1"/>
        <v>36262.579999999994</v>
      </c>
      <c r="I24" s="171"/>
      <c r="J24" s="171">
        <f t="shared" si="2"/>
        <v>41701.96699999999</v>
      </c>
      <c r="K24" s="162"/>
      <c r="L24" s="161" t="s">
        <v>15</v>
      </c>
      <c r="M24" s="162">
        <f>ROUND(15800*1.18,0)</f>
        <v>18644</v>
      </c>
      <c r="N24" s="246" t="s">
        <v>15</v>
      </c>
      <c r="O24" s="163">
        <f t="shared" si="3"/>
        <v>47957.26204999998</v>
      </c>
      <c r="P24" s="163">
        <f t="shared" si="4"/>
        <v>57548.71445999998</v>
      </c>
      <c r="Q24" s="189"/>
      <c r="R24" s="189"/>
      <c r="S24" s="186"/>
    </row>
    <row r="25" spans="1:19" ht="12.75">
      <c r="A25" s="156">
        <v>8</v>
      </c>
      <c r="B25" s="76" t="s">
        <v>85</v>
      </c>
      <c r="C25" s="73" t="s">
        <v>15</v>
      </c>
      <c r="D25" s="74">
        <v>24702</v>
      </c>
      <c r="E25" s="74" t="s">
        <v>15</v>
      </c>
      <c r="F25" s="171"/>
      <c r="G25" s="171">
        <f t="shared" si="0"/>
        <v>0</v>
      </c>
      <c r="H25" s="171">
        <f t="shared" si="1"/>
        <v>29148.359999999997</v>
      </c>
      <c r="I25" s="171"/>
      <c r="J25" s="171">
        <f t="shared" si="2"/>
        <v>33520.613999999994</v>
      </c>
      <c r="K25" s="162"/>
      <c r="L25" s="161" t="s">
        <v>15</v>
      </c>
      <c r="M25" s="162">
        <f>ROUND(12700*1.18,0)</f>
        <v>14986</v>
      </c>
      <c r="N25" s="246" t="s">
        <v>15</v>
      </c>
      <c r="O25" s="163">
        <f t="shared" si="3"/>
        <v>38548.70609999999</v>
      </c>
      <c r="P25" s="163">
        <f t="shared" si="4"/>
        <v>46258.447319999985</v>
      </c>
      <c r="Q25" s="189"/>
      <c r="R25" s="189"/>
      <c r="S25" s="186"/>
    </row>
    <row r="26" spans="1:19" ht="12.75">
      <c r="A26" s="156">
        <v>9</v>
      </c>
      <c r="B26" s="76" t="s">
        <v>86</v>
      </c>
      <c r="C26" s="73" t="s">
        <v>15</v>
      </c>
      <c r="D26" s="74">
        <v>16137</v>
      </c>
      <c r="E26" s="74" t="s">
        <v>15</v>
      </c>
      <c r="F26" s="171"/>
      <c r="G26" s="171">
        <f t="shared" si="0"/>
        <v>0</v>
      </c>
      <c r="H26" s="171">
        <f t="shared" si="1"/>
        <v>19041.66</v>
      </c>
      <c r="I26" s="171"/>
      <c r="J26" s="171">
        <f t="shared" si="2"/>
        <v>21897.909</v>
      </c>
      <c r="K26" s="162"/>
      <c r="L26" s="161" t="s">
        <v>15</v>
      </c>
      <c r="M26" s="162">
        <f>ROUND(8300*1.18,0)</f>
        <v>9794</v>
      </c>
      <c r="N26" s="246" t="s">
        <v>15</v>
      </c>
      <c r="O26" s="163">
        <f t="shared" si="3"/>
        <v>25182.595349999996</v>
      </c>
      <c r="P26" s="163">
        <f t="shared" si="4"/>
        <v>30219.114419999994</v>
      </c>
      <c r="Q26" s="189"/>
      <c r="R26" s="189"/>
      <c r="S26" s="186"/>
    </row>
    <row r="27" spans="1:19" ht="12.75">
      <c r="A27" s="156">
        <v>10</v>
      </c>
      <c r="B27" s="76" t="s">
        <v>87</v>
      </c>
      <c r="C27" s="73" t="s">
        <v>15</v>
      </c>
      <c r="D27" s="74">
        <v>10900</v>
      </c>
      <c r="E27" s="74" t="s">
        <v>15</v>
      </c>
      <c r="F27" s="171"/>
      <c r="G27" s="171">
        <f t="shared" si="0"/>
        <v>0</v>
      </c>
      <c r="H27" s="171">
        <f t="shared" si="1"/>
        <v>12862</v>
      </c>
      <c r="I27" s="171"/>
      <c r="J27" s="171">
        <f t="shared" si="2"/>
        <v>14791.3</v>
      </c>
      <c r="K27" s="162"/>
      <c r="L27" s="161" t="s">
        <v>15</v>
      </c>
      <c r="M27" s="162">
        <f>ROUND(5600*1.18,0)</f>
        <v>6608</v>
      </c>
      <c r="N27" s="246" t="s">
        <v>15</v>
      </c>
      <c r="O27" s="163">
        <f t="shared" si="3"/>
        <v>17009.995</v>
      </c>
      <c r="P27" s="163">
        <f t="shared" si="4"/>
        <v>20411.994</v>
      </c>
      <c r="Q27" s="189"/>
      <c r="R27" s="189"/>
      <c r="S27" s="186"/>
    </row>
    <row r="28" spans="1:19" ht="12.75">
      <c r="A28" s="156">
        <v>11</v>
      </c>
      <c r="B28" s="76" t="s">
        <v>88</v>
      </c>
      <c r="C28" s="73">
        <v>537</v>
      </c>
      <c r="D28" s="74"/>
      <c r="E28" s="74" t="s">
        <v>15</v>
      </c>
      <c r="F28" s="171">
        <f>C28*1.18</f>
        <v>633.66</v>
      </c>
      <c r="G28" s="171">
        <f t="shared" si="0"/>
        <v>728.709</v>
      </c>
      <c r="H28" s="171">
        <f t="shared" si="1"/>
        <v>0</v>
      </c>
      <c r="I28" s="171">
        <v>1000</v>
      </c>
      <c r="J28" s="171">
        <f>F28*1.15</f>
        <v>728.709</v>
      </c>
      <c r="K28" s="162">
        <f>I28*1.2</f>
        <v>1200</v>
      </c>
      <c r="L28" s="161">
        <f>ROUND(300*1.18,0)</f>
        <v>354</v>
      </c>
      <c r="M28" s="162">
        <f>ROUND(650*1.18,0)</f>
        <v>767</v>
      </c>
      <c r="N28" s="246" t="s">
        <v>15</v>
      </c>
      <c r="O28" s="163">
        <f t="shared" si="3"/>
        <v>838.0153499999999</v>
      </c>
      <c r="P28" s="163"/>
      <c r="Q28" s="189"/>
      <c r="R28" s="189"/>
      <c r="S28" s="186"/>
    </row>
    <row r="29" spans="1:19" ht="12.75">
      <c r="A29" s="156">
        <v>12</v>
      </c>
      <c r="B29" s="76" t="s">
        <v>89</v>
      </c>
      <c r="C29" s="73">
        <v>384</v>
      </c>
      <c r="D29" s="74" t="s">
        <v>15</v>
      </c>
      <c r="E29" s="74" t="s">
        <v>15</v>
      </c>
      <c r="F29" s="171">
        <f>C29*1.18</f>
        <v>453.12</v>
      </c>
      <c r="G29" s="171">
        <f t="shared" si="0"/>
        <v>521.088</v>
      </c>
      <c r="H29" s="171"/>
      <c r="I29" s="171">
        <v>1000</v>
      </c>
      <c r="J29" s="171">
        <f>F29*1.15</f>
        <v>521.088</v>
      </c>
      <c r="K29" s="162">
        <f>I29*1.2</f>
        <v>1200</v>
      </c>
      <c r="L29" s="161">
        <f>ROUND(250*1.18,0)</f>
        <v>295</v>
      </c>
      <c r="M29" s="162" t="s">
        <v>15</v>
      </c>
      <c r="N29" s="246" t="s">
        <v>15</v>
      </c>
      <c r="O29" s="163">
        <f t="shared" si="3"/>
        <v>599.2511999999999</v>
      </c>
      <c r="P29" s="163"/>
      <c r="Q29" s="189"/>
      <c r="R29" s="189"/>
      <c r="S29" s="186"/>
    </row>
    <row r="30" spans="1:19" ht="12.75">
      <c r="A30" s="156"/>
      <c r="B30" s="72" t="s">
        <v>90</v>
      </c>
      <c r="C30" s="73"/>
      <c r="D30" s="74"/>
      <c r="E30" s="74"/>
      <c r="F30" s="171"/>
      <c r="G30" s="171">
        <f t="shared" si="0"/>
        <v>0</v>
      </c>
      <c r="H30" s="171"/>
      <c r="I30" s="171"/>
      <c r="J30" s="171"/>
      <c r="K30" s="171"/>
      <c r="L30" s="157"/>
      <c r="M30" s="158"/>
      <c r="N30" s="159"/>
      <c r="O30" s="183"/>
      <c r="P30" s="183"/>
      <c r="Q30" s="189"/>
      <c r="R30" s="189"/>
      <c r="S30" s="186"/>
    </row>
    <row r="31" spans="1:19" ht="12.75">
      <c r="A31" s="156">
        <v>13</v>
      </c>
      <c r="B31" s="209" t="s">
        <v>91</v>
      </c>
      <c r="C31" s="67">
        <v>737</v>
      </c>
      <c r="D31" s="67">
        <v>7977</v>
      </c>
      <c r="E31" s="67" t="s">
        <v>15</v>
      </c>
      <c r="F31" s="171">
        <f>C31*1.18</f>
        <v>869.66</v>
      </c>
      <c r="G31" s="171">
        <f t="shared" si="0"/>
        <v>1000.1089999999999</v>
      </c>
      <c r="H31" s="171">
        <f>D31*1.18</f>
        <v>9412.859999999999</v>
      </c>
      <c r="I31" s="171">
        <f>F31*1.15</f>
        <v>1000.1089999999999</v>
      </c>
      <c r="J31" s="171">
        <f>H31*1.15</f>
        <v>10824.788999999997</v>
      </c>
      <c r="K31" s="171">
        <v>200</v>
      </c>
      <c r="L31" s="249">
        <f>ROUND(350*1.18,0)</f>
        <v>413</v>
      </c>
      <c r="M31" s="171">
        <f>ROUND(4100*1.18,0)</f>
        <v>4838</v>
      </c>
      <c r="N31" s="188" t="s">
        <v>15</v>
      </c>
      <c r="O31" s="183">
        <f>J31*1.15</f>
        <v>12448.507349999996</v>
      </c>
      <c r="P31" s="183">
        <v>1000</v>
      </c>
      <c r="Q31" s="189"/>
      <c r="R31" s="189"/>
      <c r="S31" s="186"/>
    </row>
    <row r="32" spans="1:19" ht="12.75">
      <c r="A32" s="156"/>
      <c r="B32" s="271" t="s">
        <v>289</v>
      </c>
      <c r="C32" s="272"/>
      <c r="D32" s="205"/>
      <c r="E32" s="206">
        <v>200</v>
      </c>
      <c r="F32" s="206">
        <v>200</v>
      </c>
      <c r="G32" s="171"/>
      <c r="H32" s="171"/>
      <c r="I32" s="171"/>
      <c r="J32" s="171"/>
      <c r="K32" s="186"/>
      <c r="L32" s="161"/>
      <c r="M32" s="162"/>
      <c r="N32" s="77"/>
      <c r="O32" s="183"/>
      <c r="P32" s="206">
        <v>200</v>
      </c>
      <c r="Q32" s="189"/>
      <c r="R32" s="189"/>
      <c r="S32" s="186"/>
    </row>
    <row r="33" spans="1:19" ht="12.75">
      <c r="A33" s="156"/>
      <c r="B33" s="271" t="s">
        <v>290</v>
      </c>
      <c r="C33" s="272"/>
      <c r="D33" s="207">
        <v>1</v>
      </c>
      <c r="E33" s="206">
        <v>220</v>
      </c>
      <c r="F33" s="206">
        <v>220</v>
      </c>
      <c r="G33" s="171"/>
      <c r="H33" s="171"/>
      <c r="I33" s="171"/>
      <c r="J33" s="171"/>
      <c r="K33" s="186"/>
      <c r="L33" s="161"/>
      <c r="M33" s="162"/>
      <c r="N33" s="77"/>
      <c r="O33" s="183"/>
      <c r="P33" s="206">
        <v>220</v>
      </c>
      <c r="Q33" s="189"/>
      <c r="R33" s="189"/>
      <c r="S33" s="186"/>
    </row>
    <row r="34" spans="1:19" ht="12.75">
      <c r="A34" s="156"/>
      <c r="B34" s="271" t="s">
        <v>291</v>
      </c>
      <c r="C34" s="272"/>
      <c r="D34" s="207">
        <v>2</v>
      </c>
      <c r="E34" s="206">
        <v>160</v>
      </c>
      <c r="F34" s="206">
        <v>380</v>
      </c>
      <c r="G34" s="171"/>
      <c r="H34" s="171"/>
      <c r="I34" s="171"/>
      <c r="J34" s="171"/>
      <c r="K34" s="186"/>
      <c r="L34" s="161"/>
      <c r="M34" s="162"/>
      <c r="N34" s="77"/>
      <c r="O34" s="183"/>
      <c r="P34" s="206">
        <v>380</v>
      </c>
      <c r="Q34" s="189"/>
      <c r="R34" s="189"/>
      <c r="S34" s="186"/>
    </row>
    <row r="35" spans="1:19" ht="12.75">
      <c r="A35" s="156"/>
      <c r="B35" s="203" t="s">
        <v>292</v>
      </c>
      <c r="C35" s="204"/>
      <c r="D35" s="207"/>
      <c r="E35" s="206">
        <v>200</v>
      </c>
      <c r="F35" s="206">
        <v>200</v>
      </c>
      <c r="G35" s="171"/>
      <c r="H35" s="171"/>
      <c r="I35" s="171"/>
      <c r="J35" s="171"/>
      <c r="K35" s="186"/>
      <c r="L35" s="161"/>
      <c r="M35" s="162"/>
      <c r="N35" s="77"/>
      <c r="O35" s="183"/>
      <c r="P35" s="206">
        <v>200</v>
      </c>
      <c r="Q35" s="189"/>
      <c r="R35" s="189"/>
      <c r="S35" s="186"/>
    </row>
    <row r="36" spans="1:19" ht="12.75">
      <c r="A36" s="156">
        <v>14</v>
      </c>
      <c r="B36" s="76" t="s">
        <v>92</v>
      </c>
      <c r="C36" s="73">
        <v>737</v>
      </c>
      <c r="D36" s="74">
        <v>9174</v>
      </c>
      <c r="E36" s="74" t="s">
        <v>15</v>
      </c>
      <c r="F36" s="171">
        <f>C36*1.18</f>
        <v>869.66</v>
      </c>
      <c r="G36" s="171">
        <f t="shared" si="0"/>
        <v>1000.1089999999999</v>
      </c>
      <c r="H36" s="171">
        <f>D36*1.18</f>
        <v>10825.32</v>
      </c>
      <c r="I36" s="171">
        <f>F36*1.15</f>
        <v>1000.1089999999999</v>
      </c>
      <c r="J36" s="171">
        <f>H36*1.15</f>
        <v>12449.117999999999</v>
      </c>
      <c r="K36" s="162">
        <f>I36*1.2</f>
        <v>1200.1308</v>
      </c>
      <c r="L36" s="161">
        <f>ROUND(350*1.18,0)</f>
        <v>413</v>
      </c>
      <c r="M36" s="162">
        <f>ROUND(4500*1.18,0)</f>
        <v>5310</v>
      </c>
      <c r="N36" s="246" t="s">
        <v>15</v>
      </c>
      <c r="O36" s="163">
        <f>J36*1.15</f>
        <v>14316.485699999997</v>
      </c>
      <c r="P36" s="163">
        <f t="shared" si="4"/>
        <v>17179.782839999996</v>
      </c>
      <c r="Q36" s="189"/>
      <c r="R36" s="189"/>
      <c r="S36" s="186"/>
    </row>
    <row r="37" spans="1:19" ht="12.75">
      <c r="A37" s="156">
        <v>15</v>
      </c>
      <c r="B37" s="76" t="s">
        <v>93</v>
      </c>
      <c r="C37" s="73">
        <v>737</v>
      </c>
      <c r="D37" s="74">
        <v>12260</v>
      </c>
      <c r="E37" s="74" t="s">
        <v>15</v>
      </c>
      <c r="F37" s="171">
        <f>C37*1.18</f>
        <v>869.66</v>
      </c>
      <c r="G37" s="171">
        <f t="shared" si="0"/>
        <v>1000.1089999999999</v>
      </c>
      <c r="H37" s="171">
        <f>D37*1.18</f>
        <v>14466.8</v>
      </c>
      <c r="I37" s="171">
        <f>F37*1.15</f>
        <v>1000.1089999999999</v>
      </c>
      <c r="J37" s="171">
        <f>H37*1.15</f>
        <v>16636.819999999996</v>
      </c>
      <c r="K37" s="162">
        <f>I37*1.2</f>
        <v>1200.1308</v>
      </c>
      <c r="L37" s="161">
        <f>ROUND(350*1.18,0)</f>
        <v>413</v>
      </c>
      <c r="M37" s="162">
        <f>ROUND(6300*1.18,0)</f>
        <v>7434</v>
      </c>
      <c r="N37" s="246" t="s">
        <v>15</v>
      </c>
      <c r="O37" s="163">
        <f>J37*1.15</f>
        <v>19132.342999999993</v>
      </c>
      <c r="P37" s="163">
        <f t="shared" si="4"/>
        <v>22958.81159999999</v>
      </c>
      <c r="Q37" s="189"/>
      <c r="R37" s="189"/>
      <c r="S37" s="186"/>
    </row>
    <row r="38" spans="1:19" ht="12.75">
      <c r="A38" s="250">
        <v>16</v>
      </c>
      <c r="B38" s="209" t="s">
        <v>94</v>
      </c>
      <c r="C38" s="67">
        <v>737</v>
      </c>
      <c r="D38" s="67">
        <v>13804</v>
      </c>
      <c r="E38" s="67" t="s">
        <v>15</v>
      </c>
      <c r="F38" s="171">
        <f>C38*1.18</f>
        <v>869.66</v>
      </c>
      <c r="G38" s="171">
        <f t="shared" si="0"/>
        <v>1000.1089999999999</v>
      </c>
      <c r="H38" s="171">
        <f>D38*1.18</f>
        <v>16288.72</v>
      </c>
      <c r="I38" s="171">
        <f>F38*1.15</f>
        <v>1000.1089999999999</v>
      </c>
      <c r="J38" s="171">
        <f>H38*1.15</f>
        <v>18732.028</v>
      </c>
      <c r="K38" s="171">
        <v>200</v>
      </c>
      <c r="L38" s="249">
        <f>ROUND(350*1.18,0)</f>
        <v>413</v>
      </c>
      <c r="M38" s="171">
        <f>ROUND(7100*1.18,0)</f>
        <v>8378</v>
      </c>
      <c r="N38" s="188" t="s">
        <v>15</v>
      </c>
      <c r="O38" s="183">
        <f>J38*1.15</f>
        <v>21541.832199999997</v>
      </c>
      <c r="P38" s="183">
        <v>1280</v>
      </c>
      <c r="Q38" s="189"/>
      <c r="R38" s="189"/>
      <c r="S38" s="186"/>
    </row>
    <row r="39" spans="1:19" ht="12.75">
      <c r="A39" s="156"/>
      <c r="B39" s="271" t="s">
        <v>289</v>
      </c>
      <c r="C39" s="272"/>
      <c r="D39" s="74"/>
      <c r="E39" s="74"/>
      <c r="F39" s="171"/>
      <c r="G39" s="171"/>
      <c r="H39" s="171"/>
      <c r="I39" s="171"/>
      <c r="J39" s="171"/>
      <c r="K39" s="186"/>
      <c r="L39" s="161"/>
      <c r="M39" s="162"/>
      <c r="N39" s="77"/>
      <c r="O39" s="183"/>
      <c r="P39" s="162">
        <v>400</v>
      </c>
      <c r="Q39" s="189"/>
      <c r="R39" s="189"/>
      <c r="S39" s="186"/>
    </row>
    <row r="40" spans="1:19" ht="12.75">
      <c r="A40" s="156"/>
      <c r="B40" s="271" t="s">
        <v>291</v>
      </c>
      <c r="C40" s="272"/>
      <c r="D40" s="74"/>
      <c r="E40" s="74"/>
      <c r="F40" s="171"/>
      <c r="G40" s="171"/>
      <c r="H40" s="171"/>
      <c r="I40" s="171"/>
      <c r="J40" s="171"/>
      <c r="K40" s="186"/>
      <c r="L40" s="161"/>
      <c r="M40" s="162"/>
      <c r="N40" s="77"/>
      <c r="O40" s="183"/>
      <c r="P40" s="162">
        <v>380</v>
      </c>
      <c r="Q40" s="189"/>
      <c r="R40" s="189"/>
      <c r="S40" s="186"/>
    </row>
    <row r="41" spans="1:19" ht="12.75">
      <c r="A41" s="156"/>
      <c r="B41" s="203" t="s">
        <v>292</v>
      </c>
      <c r="D41" s="74"/>
      <c r="E41" s="74"/>
      <c r="F41" s="171"/>
      <c r="G41" s="171"/>
      <c r="H41" s="171"/>
      <c r="I41" s="171"/>
      <c r="J41" s="171"/>
      <c r="K41" s="186"/>
      <c r="L41" s="161"/>
      <c r="M41" s="162"/>
      <c r="N41" s="77"/>
      <c r="O41" s="183"/>
      <c r="P41" s="162">
        <v>300</v>
      </c>
      <c r="Q41" s="189"/>
      <c r="R41" s="189"/>
      <c r="S41" s="186"/>
    </row>
    <row r="42" spans="1:19" ht="12.75">
      <c r="A42" s="156"/>
      <c r="B42" s="235" t="s">
        <v>293</v>
      </c>
      <c r="C42" s="204"/>
      <c r="D42" s="74"/>
      <c r="E42" s="74"/>
      <c r="F42" s="171"/>
      <c r="G42" s="171"/>
      <c r="H42" s="171"/>
      <c r="I42" s="171"/>
      <c r="J42" s="171"/>
      <c r="K42" s="186"/>
      <c r="L42" s="161"/>
      <c r="M42" s="162"/>
      <c r="N42" s="77"/>
      <c r="O42" s="183"/>
      <c r="P42" s="162">
        <v>200</v>
      </c>
      <c r="Q42" s="189"/>
      <c r="R42" s="189"/>
      <c r="S42" s="186"/>
    </row>
    <row r="43" spans="1:19" ht="12.75">
      <c r="A43" s="156">
        <v>17</v>
      </c>
      <c r="B43" s="76" t="s">
        <v>95</v>
      </c>
      <c r="C43" s="73">
        <v>1056</v>
      </c>
      <c r="D43" s="74">
        <v>17314</v>
      </c>
      <c r="E43" s="74" t="s">
        <v>15</v>
      </c>
      <c r="F43" s="171">
        <f>C43*1.18</f>
        <v>1246.08</v>
      </c>
      <c r="G43" s="171">
        <f t="shared" si="0"/>
        <v>1432.9919999999997</v>
      </c>
      <c r="H43" s="171">
        <f>D43*1.18</f>
        <v>20430.52</v>
      </c>
      <c r="I43" s="171">
        <f>F43*1.15</f>
        <v>1432.9919999999997</v>
      </c>
      <c r="J43" s="171">
        <f aca="true" t="shared" si="5" ref="J43:J48">H43*1.15</f>
        <v>23495.097999999998</v>
      </c>
      <c r="K43" s="162">
        <v>1200</v>
      </c>
      <c r="L43" s="161">
        <f>ROUND(500*1.18,0)</f>
        <v>590</v>
      </c>
      <c r="M43" s="162">
        <f>ROUND(8900*1.18,0)</f>
        <v>10502</v>
      </c>
      <c r="N43" s="246" t="s">
        <v>15</v>
      </c>
      <c r="O43" s="163">
        <f>J43*1.15</f>
        <v>27019.362699999994</v>
      </c>
      <c r="P43" s="163">
        <f t="shared" si="4"/>
        <v>32423.23523999999</v>
      </c>
      <c r="Q43" s="189"/>
      <c r="R43" s="189"/>
      <c r="S43" s="186"/>
    </row>
    <row r="44" spans="1:19" ht="12.75">
      <c r="A44" s="156"/>
      <c r="B44" s="72" t="s">
        <v>96</v>
      </c>
      <c r="C44" s="73"/>
      <c r="D44" s="74"/>
      <c r="E44" s="74"/>
      <c r="F44" s="171"/>
      <c r="G44" s="171">
        <f t="shared" si="0"/>
        <v>0</v>
      </c>
      <c r="H44" s="171"/>
      <c r="I44" s="171"/>
      <c r="J44" s="171">
        <f t="shared" si="5"/>
        <v>0</v>
      </c>
      <c r="K44" s="162"/>
      <c r="L44" s="157"/>
      <c r="M44" s="158"/>
      <c r="N44" s="159"/>
      <c r="O44" s="163"/>
      <c r="P44" s="163"/>
      <c r="Q44" s="189"/>
      <c r="R44" s="189"/>
      <c r="S44" s="186"/>
    </row>
    <row r="45" spans="1:19" ht="12.75">
      <c r="A45" s="156">
        <v>18</v>
      </c>
      <c r="B45" s="76" t="s">
        <v>97</v>
      </c>
      <c r="C45" s="73" t="s">
        <v>15</v>
      </c>
      <c r="D45" s="74">
        <v>52126</v>
      </c>
      <c r="E45" s="74" t="s">
        <v>15</v>
      </c>
      <c r="F45" s="171"/>
      <c r="G45" s="171">
        <f t="shared" si="0"/>
        <v>0</v>
      </c>
      <c r="H45" s="171">
        <f>D45*1.18</f>
        <v>61508.68</v>
      </c>
      <c r="I45" s="171"/>
      <c r="J45" s="171">
        <f t="shared" si="5"/>
        <v>70734.98199999999</v>
      </c>
      <c r="K45" s="162"/>
      <c r="L45" s="161" t="s">
        <v>15</v>
      </c>
      <c r="M45" s="162">
        <f>ROUND(26800*1.18,0)</f>
        <v>31624</v>
      </c>
      <c r="N45" s="246" t="s">
        <v>15</v>
      </c>
      <c r="O45" s="163">
        <f>J45*1.15</f>
        <v>81345.22929999998</v>
      </c>
      <c r="P45" s="163">
        <f t="shared" si="4"/>
        <v>97614.27515999998</v>
      </c>
      <c r="Q45" s="189"/>
      <c r="R45" s="189"/>
      <c r="S45" s="186"/>
    </row>
    <row r="46" spans="1:19" ht="12.75">
      <c r="A46" s="156">
        <v>19</v>
      </c>
      <c r="B46" s="76" t="s">
        <v>98</v>
      </c>
      <c r="C46" s="73" t="s">
        <v>15</v>
      </c>
      <c r="D46" s="74">
        <v>23912</v>
      </c>
      <c r="E46" s="74" t="s">
        <v>15</v>
      </c>
      <c r="F46" s="171"/>
      <c r="G46" s="171">
        <f t="shared" si="0"/>
        <v>0</v>
      </c>
      <c r="H46" s="171">
        <f>D46*1.18</f>
        <v>28216.16</v>
      </c>
      <c r="I46" s="171"/>
      <c r="J46" s="171">
        <f t="shared" si="5"/>
        <v>32448.584</v>
      </c>
      <c r="K46" s="162"/>
      <c r="L46" s="161" t="s">
        <v>15</v>
      </c>
      <c r="M46" s="162">
        <f>ROUND(12300*1.18,0)</f>
        <v>14514</v>
      </c>
      <c r="N46" s="246" t="s">
        <v>15</v>
      </c>
      <c r="O46" s="163">
        <f>J46*1.15</f>
        <v>37315.8716</v>
      </c>
      <c r="P46" s="163">
        <f t="shared" si="4"/>
        <v>44779.04592</v>
      </c>
      <c r="Q46" s="189"/>
      <c r="R46" s="189"/>
      <c r="S46" s="186"/>
    </row>
    <row r="47" spans="1:19" ht="12.75">
      <c r="A47" s="156">
        <v>20</v>
      </c>
      <c r="B47" s="76" t="s">
        <v>99</v>
      </c>
      <c r="C47" s="73">
        <v>538</v>
      </c>
      <c r="D47" s="74">
        <f>1947*1.18</f>
        <v>2297.46</v>
      </c>
      <c r="E47" s="74" t="s">
        <v>15</v>
      </c>
      <c r="F47" s="171">
        <f>C47*1.18</f>
        <v>634.8399999999999</v>
      </c>
      <c r="G47" s="171">
        <f t="shared" si="0"/>
        <v>730.0659999999998</v>
      </c>
      <c r="H47" s="171">
        <f>D47*1.18</f>
        <v>2711.0027999999998</v>
      </c>
      <c r="I47" s="171">
        <v>1000</v>
      </c>
      <c r="J47" s="171">
        <f t="shared" si="5"/>
        <v>3117.6532199999997</v>
      </c>
      <c r="K47" s="162">
        <f>I47*1.2</f>
        <v>1200</v>
      </c>
      <c r="L47" s="161">
        <f>ROUND(250*1.18,0)</f>
        <v>295</v>
      </c>
      <c r="M47" s="162">
        <f>ROUND(1420*1.18,0)</f>
        <v>1676</v>
      </c>
      <c r="N47" s="246" t="s">
        <v>15</v>
      </c>
      <c r="O47" s="163">
        <v>4100</v>
      </c>
      <c r="P47" s="163">
        <f t="shared" si="4"/>
        <v>4920</v>
      </c>
      <c r="Q47" s="189"/>
      <c r="R47" s="189"/>
      <c r="S47" s="186"/>
    </row>
    <row r="48" spans="1:19" ht="15.75">
      <c r="A48" s="156">
        <v>21</v>
      </c>
      <c r="B48" s="209" t="s">
        <v>100</v>
      </c>
      <c r="C48" s="73">
        <v>637</v>
      </c>
      <c r="D48" s="74">
        <v>4080</v>
      </c>
      <c r="E48" s="74" t="s">
        <v>15</v>
      </c>
      <c r="F48" s="171">
        <f>C48*1.18</f>
        <v>751.66</v>
      </c>
      <c r="G48" s="171">
        <f t="shared" si="0"/>
        <v>864.4089999999999</v>
      </c>
      <c r="H48" s="171">
        <f>D48*1.18</f>
        <v>4814.4</v>
      </c>
      <c r="I48" s="171">
        <v>1000</v>
      </c>
      <c r="J48" s="171">
        <f t="shared" si="5"/>
        <v>5536.5599999999995</v>
      </c>
      <c r="K48" s="171">
        <v>1600</v>
      </c>
      <c r="L48" s="161">
        <f>ROUND(300*1.18,0)</f>
        <v>354</v>
      </c>
      <c r="M48" s="162">
        <f>ROUND(2100*1.18,0)</f>
        <v>2478</v>
      </c>
      <c r="N48" s="77" t="s">
        <v>15</v>
      </c>
      <c r="O48" s="183">
        <f>J48*1.15</f>
        <v>6367.043999999999</v>
      </c>
      <c r="P48" s="234">
        <v>9378</v>
      </c>
      <c r="Q48" s="189"/>
      <c r="R48" s="189"/>
      <c r="S48" s="186"/>
    </row>
    <row r="49" spans="1:19" ht="12.75">
      <c r="A49" s="156"/>
      <c r="B49" s="271" t="s">
        <v>274</v>
      </c>
      <c r="C49" s="272"/>
      <c r="D49" s="74"/>
      <c r="E49" s="74"/>
      <c r="F49" s="171"/>
      <c r="G49" s="171"/>
      <c r="H49" s="171"/>
      <c r="I49" s="171"/>
      <c r="J49" s="171"/>
      <c r="K49" s="171"/>
      <c r="L49" s="161"/>
      <c r="M49" s="162"/>
      <c r="N49" s="77"/>
      <c r="O49" s="183"/>
      <c r="P49" s="206">
        <v>1500</v>
      </c>
      <c r="Q49" s="189"/>
      <c r="R49" s="189"/>
      <c r="S49" s="186"/>
    </row>
    <row r="50" spans="1:19" ht="12.75">
      <c r="A50" s="156"/>
      <c r="B50" s="271" t="s">
        <v>275</v>
      </c>
      <c r="C50" s="272"/>
      <c r="D50" s="74"/>
      <c r="E50" s="74"/>
      <c r="F50" s="171"/>
      <c r="G50" s="171"/>
      <c r="H50" s="171"/>
      <c r="I50" s="171"/>
      <c r="J50" s="171"/>
      <c r="K50" s="171"/>
      <c r="L50" s="161"/>
      <c r="M50" s="162"/>
      <c r="N50" s="77"/>
      <c r="O50" s="183"/>
      <c r="P50" s="206">
        <v>300</v>
      </c>
      <c r="Q50" s="189"/>
      <c r="R50" s="189"/>
      <c r="S50" s="186"/>
    </row>
    <row r="51" spans="1:19" ht="12.75">
      <c r="A51" s="156"/>
      <c r="B51" s="271" t="s">
        <v>276</v>
      </c>
      <c r="C51" s="272"/>
      <c r="D51" s="74"/>
      <c r="E51" s="74"/>
      <c r="F51" s="171"/>
      <c r="G51" s="171"/>
      <c r="H51" s="171"/>
      <c r="I51" s="171"/>
      <c r="J51" s="171"/>
      <c r="K51" s="171"/>
      <c r="L51" s="161"/>
      <c r="M51" s="162"/>
      <c r="N51" s="77"/>
      <c r="O51" s="183"/>
      <c r="P51" s="206">
        <v>2800</v>
      </c>
      <c r="Q51" s="189"/>
      <c r="R51" s="189"/>
      <c r="S51" s="186"/>
    </row>
    <row r="52" spans="1:19" ht="12.75">
      <c r="A52" s="156"/>
      <c r="B52" s="203" t="s">
        <v>277</v>
      </c>
      <c r="C52" s="204"/>
      <c r="D52" s="74"/>
      <c r="E52" s="74"/>
      <c r="F52" s="171"/>
      <c r="G52" s="171"/>
      <c r="H52" s="171"/>
      <c r="I52" s="171"/>
      <c r="J52" s="171"/>
      <c r="K52" s="171"/>
      <c r="L52" s="161"/>
      <c r="M52" s="162"/>
      <c r="N52" s="77"/>
      <c r="O52" s="183"/>
      <c r="P52" s="206">
        <v>4778</v>
      </c>
      <c r="Q52" s="189"/>
      <c r="R52" s="189"/>
      <c r="S52" s="186"/>
    </row>
    <row r="53" spans="1:19" ht="15.75">
      <c r="A53" s="156">
        <v>22</v>
      </c>
      <c r="B53" s="209" t="s">
        <v>273</v>
      </c>
      <c r="C53" s="73"/>
      <c r="D53" s="74"/>
      <c r="E53" s="74"/>
      <c r="F53" s="171"/>
      <c r="G53" s="171"/>
      <c r="H53" s="171"/>
      <c r="I53" s="171"/>
      <c r="J53" s="171"/>
      <c r="K53" s="171">
        <v>500</v>
      </c>
      <c r="L53" s="161"/>
      <c r="M53" s="162"/>
      <c r="N53" s="77"/>
      <c r="O53" s="183"/>
      <c r="P53" s="234">
        <v>9378</v>
      </c>
      <c r="Q53" s="189"/>
      <c r="R53" s="189"/>
      <c r="S53" s="186"/>
    </row>
    <row r="54" spans="1:19" ht="12.75">
      <c r="A54" s="156"/>
      <c r="B54" s="271" t="s">
        <v>274</v>
      </c>
      <c r="C54" s="272"/>
      <c r="D54" s="74"/>
      <c r="E54" s="74"/>
      <c r="F54" s="171"/>
      <c r="G54" s="171"/>
      <c r="H54" s="171"/>
      <c r="I54" s="171"/>
      <c r="J54" s="171"/>
      <c r="K54" s="171"/>
      <c r="L54" s="161"/>
      <c r="M54" s="162"/>
      <c r="N54" s="77"/>
      <c r="O54" s="183"/>
      <c r="P54" s="206">
        <v>1500</v>
      </c>
      <c r="Q54" s="189"/>
      <c r="R54" s="189"/>
      <c r="S54" s="186"/>
    </row>
    <row r="55" spans="1:19" ht="12.75">
      <c r="A55" s="156"/>
      <c r="B55" s="271" t="s">
        <v>275</v>
      </c>
      <c r="C55" s="272"/>
      <c r="D55" s="74"/>
      <c r="E55" s="74"/>
      <c r="F55" s="171"/>
      <c r="G55" s="171"/>
      <c r="H55" s="171"/>
      <c r="I55" s="171"/>
      <c r="J55" s="171"/>
      <c r="K55" s="171"/>
      <c r="L55" s="161"/>
      <c r="M55" s="162"/>
      <c r="N55" s="77"/>
      <c r="O55" s="183"/>
      <c r="P55" s="206">
        <v>300</v>
      </c>
      <c r="Q55" s="189"/>
      <c r="R55" s="189"/>
      <c r="S55" s="186"/>
    </row>
    <row r="56" spans="1:19" ht="12.75">
      <c r="A56" s="156"/>
      <c r="B56" s="271" t="s">
        <v>276</v>
      </c>
      <c r="C56" s="272"/>
      <c r="D56" s="74"/>
      <c r="E56" s="74"/>
      <c r="F56" s="171"/>
      <c r="G56" s="171"/>
      <c r="H56" s="171"/>
      <c r="I56" s="171"/>
      <c r="J56" s="171"/>
      <c r="K56" s="171"/>
      <c r="L56" s="161"/>
      <c r="M56" s="162"/>
      <c r="N56" s="77"/>
      <c r="O56" s="183"/>
      <c r="P56" s="206">
        <v>2800</v>
      </c>
      <c r="Q56" s="189"/>
      <c r="R56" s="189"/>
      <c r="S56" s="186"/>
    </row>
    <row r="57" spans="1:19" ht="12.75">
      <c r="A57" s="156"/>
      <c r="B57" s="203" t="s">
        <v>277</v>
      </c>
      <c r="C57" s="204"/>
      <c r="D57" s="74"/>
      <c r="E57" s="74"/>
      <c r="F57" s="171"/>
      <c r="G57" s="171"/>
      <c r="H57" s="171"/>
      <c r="I57" s="171"/>
      <c r="J57" s="171"/>
      <c r="K57" s="171"/>
      <c r="L57" s="161"/>
      <c r="M57" s="162"/>
      <c r="N57" s="77"/>
      <c r="O57" s="183"/>
      <c r="P57" s="206">
        <v>4778</v>
      </c>
      <c r="Q57" s="189"/>
      <c r="R57" s="189"/>
      <c r="S57" s="186"/>
    </row>
    <row r="58" spans="1:19" ht="38.25" customHeight="1">
      <c r="A58" s="156">
        <v>23</v>
      </c>
      <c r="B58" s="209" t="s">
        <v>297</v>
      </c>
      <c r="C58" s="73">
        <v>637</v>
      </c>
      <c r="D58" s="74">
        <v>5275</v>
      </c>
      <c r="E58" s="74" t="s">
        <v>15</v>
      </c>
      <c r="F58" s="171">
        <f>C58*1.18</f>
        <v>751.66</v>
      </c>
      <c r="G58" s="171">
        <f t="shared" si="0"/>
        <v>864.4089999999999</v>
      </c>
      <c r="H58" s="171">
        <f>D58*1.18</f>
        <v>6224.5</v>
      </c>
      <c r="I58" s="171">
        <v>1000</v>
      </c>
      <c r="J58" s="171">
        <f>H58*1.15</f>
        <v>7158.174999999999</v>
      </c>
      <c r="K58" s="171">
        <v>500</v>
      </c>
      <c r="L58" s="161">
        <f>ROUND(300*1.18,0)</f>
        <v>354</v>
      </c>
      <c r="M58" s="162">
        <f>ROUND(2710*1.18,0)</f>
        <v>3198</v>
      </c>
      <c r="N58" s="77" t="s">
        <v>15</v>
      </c>
      <c r="O58" s="183">
        <f>J58*1.15</f>
        <v>8231.901249999999</v>
      </c>
      <c r="P58" s="234">
        <v>10378</v>
      </c>
      <c r="Q58" s="189"/>
      <c r="R58" s="189"/>
      <c r="S58" s="186"/>
    </row>
    <row r="59" spans="1:19" ht="18" customHeight="1">
      <c r="A59" s="156"/>
      <c r="B59" s="76" t="s">
        <v>298</v>
      </c>
      <c r="C59" s="73"/>
      <c r="D59" s="74"/>
      <c r="E59" s="74"/>
      <c r="F59" s="171"/>
      <c r="G59" s="171"/>
      <c r="H59" s="171"/>
      <c r="I59" s="171"/>
      <c r="J59" s="171"/>
      <c r="K59" s="162"/>
      <c r="L59" s="161"/>
      <c r="M59" s="162"/>
      <c r="N59" s="246"/>
      <c r="O59" s="163"/>
      <c r="P59" s="163">
        <v>520</v>
      </c>
      <c r="Q59" s="160"/>
      <c r="R59" s="160"/>
      <c r="S59" s="186"/>
    </row>
    <row r="60" spans="1:19" ht="18" customHeight="1">
      <c r="A60" s="156"/>
      <c r="B60" s="271" t="s">
        <v>274</v>
      </c>
      <c r="C60" s="272"/>
      <c r="D60" s="74"/>
      <c r="E60" s="74"/>
      <c r="F60" s="171"/>
      <c r="G60" s="171"/>
      <c r="H60" s="171"/>
      <c r="I60" s="171"/>
      <c r="J60" s="171"/>
      <c r="K60" s="162"/>
      <c r="L60" s="161"/>
      <c r="M60" s="162"/>
      <c r="N60" s="246"/>
      <c r="O60" s="163"/>
      <c r="P60" s="163">
        <v>1500</v>
      </c>
      <c r="Q60" s="160"/>
      <c r="R60" s="160"/>
      <c r="S60" s="186"/>
    </row>
    <row r="61" spans="1:19" ht="18" customHeight="1">
      <c r="A61" s="156"/>
      <c r="B61" s="271" t="s">
        <v>275</v>
      </c>
      <c r="C61" s="272"/>
      <c r="D61" s="74"/>
      <c r="E61" s="74"/>
      <c r="F61" s="171"/>
      <c r="G61" s="171"/>
      <c r="H61" s="171"/>
      <c r="I61" s="171"/>
      <c r="J61" s="171"/>
      <c r="K61" s="162"/>
      <c r="L61" s="161"/>
      <c r="M61" s="162"/>
      <c r="N61" s="246"/>
      <c r="O61" s="163"/>
      <c r="P61" s="163">
        <v>300</v>
      </c>
      <c r="Q61" s="160"/>
      <c r="R61" s="160"/>
      <c r="S61" s="186"/>
    </row>
    <row r="62" spans="1:19" ht="18" customHeight="1">
      <c r="A62" s="156"/>
      <c r="B62" s="271" t="s">
        <v>276</v>
      </c>
      <c r="C62" s="272"/>
      <c r="D62" s="74"/>
      <c r="E62" s="74"/>
      <c r="F62" s="171"/>
      <c r="G62" s="171"/>
      <c r="H62" s="171"/>
      <c r="I62" s="171"/>
      <c r="J62" s="171"/>
      <c r="K62" s="162"/>
      <c r="L62" s="161"/>
      <c r="M62" s="162"/>
      <c r="N62" s="246"/>
      <c r="O62" s="163"/>
      <c r="P62" s="163">
        <v>2800</v>
      </c>
      <c r="Q62" s="160"/>
      <c r="R62" s="160"/>
      <c r="S62" s="186"/>
    </row>
    <row r="63" spans="1:19" ht="18" customHeight="1">
      <c r="A63" s="156"/>
      <c r="B63" s="203" t="s">
        <v>277</v>
      </c>
      <c r="C63" s="204"/>
      <c r="D63" s="74"/>
      <c r="E63" s="74"/>
      <c r="F63" s="171"/>
      <c r="G63" s="171"/>
      <c r="H63" s="171"/>
      <c r="I63" s="171"/>
      <c r="J63" s="171"/>
      <c r="K63" s="162"/>
      <c r="L63" s="161"/>
      <c r="M63" s="162"/>
      <c r="N63" s="246"/>
      <c r="O63" s="163"/>
      <c r="P63" s="163">
        <v>4738</v>
      </c>
      <c r="Q63" s="160"/>
      <c r="R63" s="160"/>
      <c r="S63" s="186"/>
    </row>
    <row r="64" spans="1:19" ht="16.5" customHeight="1">
      <c r="A64" s="156"/>
      <c r="B64" s="203" t="s">
        <v>299</v>
      </c>
      <c r="C64" s="204"/>
      <c r="D64" s="74"/>
      <c r="E64" s="74"/>
      <c r="F64" s="171"/>
      <c r="G64" s="171"/>
      <c r="H64" s="171"/>
      <c r="I64" s="171"/>
      <c r="J64" s="171"/>
      <c r="K64" s="162"/>
      <c r="L64" s="161"/>
      <c r="M64" s="162"/>
      <c r="N64" s="246"/>
      <c r="O64" s="163"/>
      <c r="P64" s="163">
        <v>520</v>
      </c>
      <c r="Q64" s="160"/>
      <c r="R64" s="160"/>
      <c r="S64" s="186"/>
    </row>
    <row r="65" spans="1:19" ht="25.5" customHeight="1">
      <c r="A65" s="156">
        <v>24</v>
      </c>
      <c r="B65" s="76" t="s">
        <v>101</v>
      </c>
      <c r="C65" s="73">
        <v>637</v>
      </c>
      <c r="D65" s="74">
        <v>7390</v>
      </c>
      <c r="E65" s="74" t="s">
        <v>15</v>
      </c>
      <c r="F65" s="171">
        <f>C65*1.18</f>
        <v>751.66</v>
      </c>
      <c r="G65" s="171">
        <f t="shared" si="0"/>
        <v>864.4089999999999</v>
      </c>
      <c r="H65" s="171">
        <f>D65*1.18</f>
        <v>8720.199999999999</v>
      </c>
      <c r="I65" s="171">
        <v>1000</v>
      </c>
      <c r="J65" s="171">
        <f aca="true" t="shared" si="6" ref="J65:J74">H65*1.15</f>
        <v>10028.229999999998</v>
      </c>
      <c r="K65" s="162">
        <f>I65*1.2</f>
        <v>1200</v>
      </c>
      <c r="L65" s="161">
        <f>ROUND(300*1.18,0)</f>
        <v>354</v>
      </c>
      <c r="M65" s="162">
        <f>ROUND(3800*1.18,0)</f>
        <v>4484</v>
      </c>
      <c r="N65" s="246" t="s">
        <v>15</v>
      </c>
      <c r="O65" s="163">
        <f>J65*1.15</f>
        <v>11532.464499999996</v>
      </c>
      <c r="P65" s="163">
        <f t="shared" si="4"/>
        <v>13838.957399999996</v>
      </c>
      <c r="Q65" s="160"/>
      <c r="R65" s="160"/>
      <c r="S65" s="186"/>
    </row>
    <row r="66" spans="1:19" ht="12.75">
      <c r="A66" s="156">
        <v>25</v>
      </c>
      <c r="B66" s="76" t="s">
        <v>102</v>
      </c>
      <c r="C66" s="73" t="s">
        <v>15</v>
      </c>
      <c r="D66" s="74">
        <v>21192</v>
      </c>
      <c r="E66" s="74" t="s">
        <v>15</v>
      </c>
      <c r="F66" s="171"/>
      <c r="G66" s="171">
        <f t="shared" si="0"/>
        <v>0</v>
      </c>
      <c r="H66" s="171">
        <f>D66*1.18</f>
        <v>25006.559999999998</v>
      </c>
      <c r="I66" s="171"/>
      <c r="J66" s="171">
        <f t="shared" si="6"/>
        <v>28757.543999999994</v>
      </c>
      <c r="K66" s="162"/>
      <c r="L66" s="161" t="s">
        <v>15</v>
      </c>
      <c r="M66" s="162">
        <f>ROUND(10900*1.18,0)</f>
        <v>12862</v>
      </c>
      <c r="N66" s="246" t="s">
        <v>15</v>
      </c>
      <c r="O66" s="163">
        <f>J66*1.15</f>
        <v>33071.17559999999</v>
      </c>
      <c r="P66" s="163">
        <f t="shared" si="4"/>
        <v>39685.410719999985</v>
      </c>
      <c r="Q66" s="160"/>
      <c r="R66" s="160"/>
      <c r="S66" s="186"/>
    </row>
    <row r="67" spans="1:19" ht="38.25">
      <c r="A67" s="156">
        <v>26</v>
      </c>
      <c r="B67" s="76" t="s">
        <v>103</v>
      </c>
      <c r="C67" s="73" t="s">
        <v>15</v>
      </c>
      <c r="D67" s="74">
        <v>13031</v>
      </c>
      <c r="E67" s="74" t="s">
        <v>15</v>
      </c>
      <c r="F67" s="171"/>
      <c r="G67" s="171">
        <f t="shared" si="0"/>
        <v>0</v>
      </c>
      <c r="H67" s="171">
        <f>D67*1.18</f>
        <v>15376.58</v>
      </c>
      <c r="I67" s="171"/>
      <c r="J67" s="171">
        <f t="shared" si="6"/>
        <v>17683.067</v>
      </c>
      <c r="K67" s="162"/>
      <c r="L67" s="161" t="s">
        <v>15</v>
      </c>
      <c r="M67" s="162">
        <f>ROUND(6700*1.18,0)</f>
        <v>7906</v>
      </c>
      <c r="N67" s="246" t="s">
        <v>15</v>
      </c>
      <c r="O67" s="163">
        <f>J67*1.15</f>
        <v>20335.527049999997</v>
      </c>
      <c r="P67" s="163">
        <f t="shared" si="4"/>
        <v>24402.632459999997</v>
      </c>
      <c r="Q67" s="160"/>
      <c r="R67" s="160"/>
      <c r="S67" s="186"/>
    </row>
    <row r="68" spans="1:19" ht="25.5" customHeight="1">
      <c r="A68" s="156"/>
      <c r="B68" s="72" t="s">
        <v>104</v>
      </c>
      <c r="C68" s="73"/>
      <c r="D68" s="74"/>
      <c r="E68" s="74"/>
      <c r="F68" s="171"/>
      <c r="G68" s="171">
        <f t="shared" si="0"/>
        <v>0</v>
      </c>
      <c r="H68" s="171"/>
      <c r="I68" s="171"/>
      <c r="J68" s="171">
        <f t="shared" si="6"/>
        <v>0</v>
      </c>
      <c r="K68" s="162"/>
      <c r="L68" s="157"/>
      <c r="M68" s="158"/>
      <c r="N68" s="159"/>
      <c r="O68" s="163"/>
      <c r="P68" s="163"/>
      <c r="Q68" s="160"/>
      <c r="R68" s="160"/>
      <c r="S68" s="186"/>
    </row>
    <row r="69" spans="1:19" ht="12.75">
      <c r="A69" s="156">
        <v>27</v>
      </c>
      <c r="B69" s="76" t="s">
        <v>105</v>
      </c>
      <c r="C69" s="73">
        <v>307</v>
      </c>
      <c r="D69" s="74">
        <v>772</v>
      </c>
      <c r="E69" s="74" t="s">
        <v>15</v>
      </c>
      <c r="F69" s="171">
        <f>C69*1.18</f>
        <v>362.26</v>
      </c>
      <c r="G69" s="171">
        <f t="shared" si="0"/>
        <v>416.59899999999993</v>
      </c>
      <c r="H69" s="171">
        <f aca="true" t="shared" si="7" ref="H69:H74">D69*1.18</f>
        <v>910.9599999999999</v>
      </c>
      <c r="I69" s="171">
        <v>1000</v>
      </c>
      <c r="J69" s="171">
        <f t="shared" si="6"/>
        <v>1047.6039999999998</v>
      </c>
      <c r="K69" s="162">
        <f>I69*1.2</f>
        <v>1200</v>
      </c>
      <c r="L69" s="161" t="s">
        <v>15</v>
      </c>
      <c r="M69" s="162">
        <f>ROUND(400*1.18,0)</f>
        <v>472</v>
      </c>
      <c r="N69" s="246" t="s">
        <v>15</v>
      </c>
      <c r="O69" s="163">
        <f aca="true" t="shared" si="8" ref="O69:O74">J69*1.15</f>
        <v>1204.7445999999998</v>
      </c>
      <c r="P69" s="163">
        <f t="shared" si="4"/>
        <v>1445.6935199999996</v>
      </c>
      <c r="Q69" s="160"/>
      <c r="R69" s="160"/>
      <c r="S69" s="186"/>
    </row>
    <row r="70" spans="1:19" ht="25.5">
      <c r="A70" s="156">
        <v>28</v>
      </c>
      <c r="B70" s="76" t="s">
        <v>106</v>
      </c>
      <c r="C70" s="73" t="s">
        <v>15</v>
      </c>
      <c r="D70" s="74">
        <v>5257</v>
      </c>
      <c r="E70" s="74" t="s">
        <v>15</v>
      </c>
      <c r="F70" s="171"/>
      <c r="G70" s="171">
        <f t="shared" si="0"/>
        <v>0</v>
      </c>
      <c r="H70" s="171">
        <f t="shared" si="7"/>
        <v>6203.259999999999</v>
      </c>
      <c r="I70" s="171"/>
      <c r="J70" s="171">
        <f t="shared" si="6"/>
        <v>7133.748999999999</v>
      </c>
      <c r="K70" s="162"/>
      <c r="L70" s="161" t="s">
        <v>15</v>
      </c>
      <c r="M70" s="162">
        <f>ROUND(2700*1.18,0)</f>
        <v>3186</v>
      </c>
      <c r="N70" s="246" t="s">
        <v>15</v>
      </c>
      <c r="O70" s="163">
        <f t="shared" si="8"/>
        <v>8203.811349999998</v>
      </c>
      <c r="P70" s="163">
        <f t="shared" si="4"/>
        <v>9844.573619999997</v>
      </c>
      <c r="Q70" s="160"/>
      <c r="R70" s="160"/>
      <c r="S70" s="186"/>
    </row>
    <row r="71" spans="1:19" ht="12.75">
      <c r="A71" s="156">
        <v>29</v>
      </c>
      <c r="B71" s="76" t="s">
        <v>107</v>
      </c>
      <c r="C71" s="73" t="s">
        <v>15</v>
      </c>
      <c r="D71" s="74">
        <v>5257</v>
      </c>
      <c r="E71" s="74" t="s">
        <v>15</v>
      </c>
      <c r="F71" s="171"/>
      <c r="G71" s="171">
        <f t="shared" si="0"/>
        <v>0</v>
      </c>
      <c r="H71" s="171">
        <f t="shared" si="7"/>
        <v>6203.259999999999</v>
      </c>
      <c r="I71" s="171"/>
      <c r="J71" s="171">
        <f t="shared" si="6"/>
        <v>7133.748999999999</v>
      </c>
      <c r="K71" s="162"/>
      <c r="L71" s="161" t="s">
        <v>15</v>
      </c>
      <c r="M71" s="162">
        <f>ROUND(2700*1.18,0)</f>
        <v>3186</v>
      </c>
      <c r="N71" s="246" t="s">
        <v>15</v>
      </c>
      <c r="O71" s="163">
        <f t="shared" si="8"/>
        <v>8203.811349999998</v>
      </c>
      <c r="P71" s="163">
        <f t="shared" si="4"/>
        <v>9844.573619999997</v>
      </c>
      <c r="Q71" s="160"/>
      <c r="R71" s="160"/>
      <c r="S71" s="186"/>
    </row>
    <row r="72" spans="1:19" ht="12.75">
      <c r="A72" s="156">
        <v>30</v>
      </c>
      <c r="B72" s="76" t="s">
        <v>108</v>
      </c>
      <c r="C72" s="73" t="s">
        <v>15</v>
      </c>
      <c r="D72" s="74">
        <v>3673</v>
      </c>
      <c r="E72" s="74" t="s">
        <v>15</v>
      </c>
      <c r="F72" s="171"/>
      <c r="G72" s="171">
        <f aca="true" t="shared" si="9" ref="G72:G103">F72*1.15</f>
        <v>0</v>
      </c>
      <c r="H72" s="171">
        <f t="shared" si="7"/>
        <v>4334.139999999999</v>
      </c>
      <c r="I72" s="171"/>
      <c r="J72" s="171">
        <f t="shared" si="6"/>
        <v>4984.260999999999</v>
      </c>
      <c r="K72" s="162"/>
      <c r="L72" s="161" t="s">
        <v>15</v>
      </c>
      <c r="M72" s="162">
        <f>ROUND(4800*1.18,0)</f>
        <v>5664</v>
      </c>
      <c r="N72" s="246" t="s">
        <v>15</v>
      </c>
      <c r="O72" s="163">
        <f t="shared" si="8"/>
        <v>5731.900149999998</v>
      </c>
      <c r="P72" s="163">
        <f t="shared" si="4"/>
        <v>6878.280179999997</v>
      </c>
      <c r="Q72" s="160"/>
      <c r="R72" s="160"/>
      <c r="S72" s="186"/>
    </row>
    <row r="73" spans="1:19" ht="12.75">
      <c r="A73" s="156">
        <v>31</v>
      </c>
      <c r="B73" s="76" t="s">
        <v>109</v>
      </c>
      <c r="C73" s="73" t="s">
        <v>15</v>
      </c>
      <c r="D73" s="74">
        <v>11285</v>
      </c>
      <c r="E73" s="74" t="s">
        <v>15</v>
      </c>
      <c r="F73" s="171"/>
      <c r="G73" s="171">
        <f t="shared" si="9"/>
        <v>0</v>
      </c>
      <c r="H73" s="171">
        <f t="shared" si="7"/>
        <v>13316.3</v>
      </c>
      <c r="I73" s="171"/>
      <c r="J73" s="171">
        <f t="shared" si="6"/>
        <v>15313.744999999997</v>
      </c>
      <c r="K73" s="162"/>
      <c r="L73" s="161" t="s">
        <v>15</v>
      </c>
      <c r="M73" s="162">
        <f>ROUND(5800*1.18,0)</f>
        <v>6844</v>
      </c>
      <c r="N73" s="246" t="s">
        <v>15</v>
      </c>
      <c r="O73" s="163">
        <f t="shared" si="8"/>
        <v>17610.806749999996</v>
      </c>
      <c r="P73" s="163">
        <f t="shared" si="4"/>
        <v>21132.968099999995</v>
      </c>
      <c r="Q73" s="160"/>
      <c r="R73" s="160"/>
      <c r="S73" s="186"/>
    </row>
    <row r="74" spans="1:19" ht="25.5">
      <c r="A74" s="156">
        <v>32</v>
      </c>
      <c r="B74" s="76" t="s">
        <v>110</v>
      </c>
      <c r="C74" s="73" t="s">
        <v>15</v>
      </c>
      <c r="D74" s="74">
        <v>5404</v>
      </c>
      <c r="E74" s="74" t="s">
        <v>15</v>
      </c>
      <c r="F74" s="171">
        <v>530</v>
      </c>
      <c r="G74" s="171">
        <f t="shared" si="9"/>
        <v>609.5</v>
      </c>
      <c r="H74" s="171">
        <f t="shared" si="7"/>
        <v>6376.719999999999</v>
      </c>
      <c r="I74" s="171">
        <v>1000</v>
      </c>
      <c r="J74" s="171">
        <f t="shared" si="6"/>
        <v>7333.227999999998</v>
      </c>
      <c r="K74" s="162">
        <f>I74*1.2</f>
        <v>1200</v>
      </c>
      <c r="L74" s="161" t="s">
        <v>15</v>
      </c>
      <c r="M74" s="162">
        <f>ROUND(2780*1.18,0)</f>
        <v>3280</v>
      </c>
      <c r="N74" s="246" t="s">
        <v>15</v>
      </c>
      <c r="O74" s="163">
        <f t="shared" si="8"/>
        <v>8433.212199999998</v>
      </c>
      <c r="P74" s="163">
        <f t="shared" si="4"/>
        <v>10119.854639999998</v>
      </c>
      <c r="Q74" s="160"/>
      <c r="R74" s="160"/>
      <c r="S74" s="186"/>
    </row>
    <row r="75" spans="1:19" ht="12.75">
      <c r="A75" s="156"/>
      <c r="B75" s="72" t="s">
        <v>29</v>
      </c>
      <c r="C75" s="73"/>
      <c r="D75" s="74"/>
      <c r="E75" s="74"/>
      <c r="F75" s="171"/>
      <c r="G75" s="171">
        <f t="shared" si="9"/>
        <v>0</v>
      </c>
      <c r="H75" s="171"/>
      <c r="I75" s="171"/>
      <c r="J75" s="171"/>
      <c r="K75" s="162"/>
      <c r="L75" s="157"/>
      <c r="M75" s="158"/>
      <c r="N75" s="159"/>
      <c r="O75" s="163"/>
      <c r="P75" s="163"/>
      <c r="Q75" s="160"/>
      <c r="R75" s="160"/>
      <c r="S75" s="186"/>
    </row>
    <row r="76" spans="1:19" ht="12.75">
      <c r="A76" s="156"/>
      <c r="B76" s="72" t="s">
        <v>111</v>
      </c>
      <c r="C76" s="73"/>
      <c r="D76" s="74"/>
      <c r="E76" s="74"/>
      <c r="F76" s="171"/>
      <c r="G76" s="171">
        <f t="shared" si="9"/>
        <v>0</v>
      </c>
      <c r="H76" s="171"/>
      <c r="I76" s="171"/>
      <c r="J76" s="171"/>
      <c r="K76" s="162"/>
      <c r="L76" s="157"/>
      <c r="M76" s="158"/>
      <c r="N76" s="159"/>
      <c r="O76" s="163"/>
      <c r="P76" s="163"/>
      <c r="Q76" s="160"/>
      <c r="R76" s="160"/>
      <c r="S76" s="186"/>
    </row>
    <row r="77" spans="1:19" ht="12.75">
      <c r="A77" s="156">
        <v>33</v>
      </c>
      <c r="B77" s="76" t="s">
        <v>112</v>
      </c>
      <c r="C77" s="73">
        <v>1055</v>
      </c>
      <c r="D77" s="74">
        <v>11873</v>
      </c>
      <c r="E77" s="74">
        <v>8234</v>
      </c>
      <c r="F77" s="171">
        <f aca="true" t="shared" si="10" ref="F77:F83">C77*1.18</f>
        <v>1244.8999999999999</v>
      </c>
      <c r="G77" s="171">
        <f t="shared" si="9"/>
        <v>1431.6349999999998</v>
      </c>
      <c r="H77" s="171">
        <f aca="true" t="shared" si="11" ref="H77:H83">D77*1.18</f>
        <v>14010.14</v>
      </c>
      <c r="I77" s="171">
        <f aca="true" t="shared" si="12" ref="I77:I83">F77*1.15</f>
        <v>1431.6349999999998</v>
      </c>
      <c r="J77" s="171">
        <f aca="true" t="shared" si="13" ref="J77:J83">H77*1.15</f>
        <v>16111.660999999998</v>
      </c>
      <c r="K77" s="162">
        <f aca="true" t="shared" si="14" ref="K77:K83">I77*1.2</f>
        <v>1717.9619999999998</v>
      </c>
      <c r="L77" s="161">
        <f aca="true" t="shared" si="15" ref="L77:L83">ROUND(500*1.18,0)</f>
        <v>590</v>
      </c>
      <c r="M77" s="162">
        <f>ROUND(6100*1.18,0)</f>
        <v>7198</v>
      </c>
      <c r="N77" s="163">
        <f>ROUND(2120*1.18,0)</f>
        <v>2502</v>
      </c>
      <c r="O77" s="163">
        <f aca="true" t="shared" si="16" ref="O77:O83">J77*1.15</f>
        <v>18528.410149999996</v>
      </c>
      <c r="P77" s="163">
        <f t="shared" si="4"/>
        <v>22234.092179999996</v>
      </c>
      <c r="Q77" s="247">
        <v>12850</v>
      </c>
      <c r="R77" s="247">
        <f>Q77*1.2</f>
        <v>15420</v>
      </c>
      <c r="S77" s="186"/>
    </row>
    <row r="78" spans="1:19" ht="12.75">
      <c r="A78" s="156">
        <v>34</v>
      </c>
      <c r="B78" s="76" t="s">
        <v>113</v>
      </c>
      <c r="C78" s="73">
        <v>1055</v>
      </c>
      <c r="D78" s="74">
        <v>7903</v>
      </c>
      <c r="E78" s="74">
        <v>7683</v>
      </c>
      <c r="F78" s="171">
        <f t="shared" si="10"/>
        <v>1244.8999999999999</v>
      </c>
      <c r="G78" s="171">
        <f t="shared" si="9"/>
        <v>1431.6349999999998</v>
      </c>
      <c r="H78" s="171">
        <f t="shared" si="11"/>
        <v>9325.539999999999</v>
      </c>
      <c r="I78" s="171">
        <f t="shared" si="12"/>
        <v>1431.6349999999998</v>
      </c>
      <c r="J78" s="171">
        <f t="shared" si="13"/>
        <v>10724.370999999997</v>
      </c>
      <c r="K78" s="162">
        <f t="shared" si="14"/>
        <v>1717.9619999999998</v>
      </c>
      <c r="L78" s="161">
        <f t="shared" si="15"/>
        <v>590</v>
      </c>
      <c r="M78" s="162">
        <f>ROUND(4060*1.18,0)</f>
        <v>4791</v>
      </c>
      <c r="N78" s="163">
        <f>ROUND(1970*1.18,0)</f>
        <v>2325</v>
      </c>
      <c r="O78" s="163">
        <f t="shared" si="16"/>
        <v>12333.026649999996</v>
      </c>
      <c r="P78" s="163">
        <f t="shared" si="4"/>
        <v>14799.631979999995</v>
      </c>
      <c r="Q78" s="247">
        <v>11990</v>
      </c>
      <c r="R78" s="247">
        <f aca="true" t="shared" si="17" ref="R78:R109">Q78*1.2</f>
        <v>14388</v>
      </c>
      <c r="S78" s="186"/>
    </row>
    <row r="79" spans="1:19" ht="12.75">
      <c r="A79" s="156">
        <v>35</v>
      </c>
      <c r="B79" s="76" t="s">
        <v>114</v>
      </c>
      <c r="C79" s="73">
        <v>1055</v>
      </c>
      <c r="D79" s="74">
        <v>4283</v>
      </c>
      <c r="E79" s="74">
        <v>4007</v>
      </c>
      <c r="F79" s="171">
        <f t="shared" si="10"/>
        <v>1244.8999999999999</v>
      </c>
      <c r="G79" s="171">
        <f t="shared" si="9"/>
        <v>1431.6349999999998</v>
      </c>
      <c r="H79" s="171">
        <f t="shared" si="11"/>
        <v>5053.94</v>
      </c>
      <c r="I79" s="171">
        <f t="shared" si="12"/>
        <v>1431.6349999999998</v>
      </c>
      <c r="J79" s="171">
        <f t="shared" si="13"/>
        <v>5812.030999999999</v>
      </c>
      <c r="K79" s="162">
        <f t="shared" si="14"/>
        <v>1717.9619999999998</v>
      </c>
      <c r="L79" s="161">
        <f t="shared" si="15"/>
        <v>590</v>
      </c>
      <c r="M79" s="162">
        <f>ROUND(2200*1.18,0)</f>
        <v>2596</v>
      </c>
      <c r="N79" s="163">
        <f>ROUND(1030*1.18,0)</f>
        <v>1215</v>
      </c>
      <c r="O79" s="163">
        <f t="shared" si="16"/>
        <v>6683.835649999998</v>
      </c>
      <c r="P79" s="163">
        <f t="shared" si="4"/>
        <v>8020.602779999997</v>
      </c>
      <c r="Q79" s="247">
        <v>6253</v>
      </c>
      <c r="R79" s="247">
        <f t="shared" si="17"/>
        <v>7503.599999999999</v>
      </c>
      <c r="S79" s="186"/>
    </row>
    <row r="80" spans="1:19" ht="12.75">
      <c r="A80" s="156">
        <v>36</v>
      </c>
      <c r="B80" s="76" t="s">
        <v>115</v>
      </c>
      <c r="C80" s="73">
        <v>1055</v>
      </c>
      <c r="D80" s="74">
        <v>5257</v>
      </c>
      <c r="E80" s="74">
        <v>5367</v>
      </c>
      <c r="F80" s="171">
        <f t="shared" si="10"/>
        <v>1244.8999999999999</v>
      </c>
      <c r="G80" s="171">
        <f t="shared" si="9"/>
        <v>1431.6349999999998</v>
      </c>
      <c r="H80" s="171">
        <f t="shared" si="11"/>
        <v>6203.259999999999</v>
      </c>
      <c r="I80" s="171">
        <f t="shared" si="12"/>
        <v>1431.6349999999998</v>
      </c>
      <c r="J80" s="171">
        <f t="shared" si="13"/>
        <v>7133.748999999999</v>
      </c>
      <c r="K80" s="162">
        <f t="shared" si="14"/>
        <v>1717.9619999999998</v>
      </c>
      <c r="L80" s="161">
        <f t="shared" si="15"/>
        <v>590</v>
      </c>
      <c r="M80" s="162">
        <f>ROUND(2700*1.18,0)</f>
        <v>3186</v>
      </c>
      <c r="N80" s="163">
        <f>ROUND(1380*1.18,0)</f>
        <v>1628</v>
      </c>
      <c r="O80" s="163">
        <f t="shared" si="16"/>
        <v>8203.811349999998</v>
      </c>
      <c r="P80" s="163">
        <f t="shared" si="4"/>
        <v>9844.573619999997</v>
      </c>
      <c r="Q80" s="247">
        <v>8375</v>
      </c>
      <c r="R80" s="247">
        <f t="shared" si="17"/>
        <v>10050</v>
      </c>
      <c r="S80" s="186"/>
    </row>
    <row r="81" spans="1:19" ht="12.75">
      <c r="A81" s="156">
        <v>37</v>
      </c>
      <c r="B81" s="76" t="s">
        <v>116</v>
      </c>
      <c r="C81" s="73">
        <v>1055</v>
      </c>
      <c r="D81" s="74">
        <v>5257</v>
      </c>
      <c r="E81" s="74">
        <v>4890</v>
      </c>
      <c r="F81" s="171">
        <f t="shared" si="10"/>
        <v>1244.8999999999999</v>
      </c>
      <c r="G81" s="171">
        <f t="shared" si="9"/>
        <v>1431.6349999999998</v>
      </c>
      <c r="H81" s="171">
        <f t="shared" si="11"/>
        <v>6203.259999999999</v>
      </c>
      <c r="I81" s="171">
        <f t="shared" si="12"/>
        <v>1431.6349999999998</v>
      </c>
      <c r="J81" s="171">
        <f t="shared" si="13"/>
        <v>7133.748999999999</v>
      </c>
      <c r="K81" s="162">
        <f t="shared" si="14"/>
        <v>1717.9619999999998</v>
      </c>
      <c r="L81" s="161">
        <f t="shared" si="15"/>
        <v>590</v>
      </c>
      <c r="M81" s="162">
        <f>ROUND(2700*1.18,0)</f>
        <v>3186</v>
      </c>
      <c r="N81" s="163">
        <f>ROUND(1260*1.18,0)</f>
        <v>1487</v>
      </c>
      <c r="O81" s="163">
        <f t="shared" si="16"/>
        <v>8203.811349999998</v>
      </c>
      <c r="P81" s="163">
        <f t="shared" si="4"/>
        <v>9844.573619999997</v>
      </c>
      <c r="Q81" s="247">
        <v>7631</v>
      </c>
      <c r="R81" s="247">
        <f t="shared" si="17"/>
        <v>9157.199999999999</v>
      </c>
      <c r="S81" s="186"/>
    </row>
    <row r="82" spans="1:19" ht="12.75">
      <c r="A82" s="156">
        <v>38</v>
      </c>
      <c r="B82" s="76" t="s">
        <v>117</v>
      </c>
      <c r="C82" s="73">
        <v>1055</v>
      </c>
      <c r="D82" s="74">
        <v>4466</v>
      </c>
      <c r="E82" s="74">
        <v>4890</v>
      </c>
      <c r="F82" s="171">
        <f t="shared" si="10"/>
        <v>1244.8999999999999</v>
      </c>
      <c r="G82" s="171">
        <f t="shared" si="9"/>
        <v>1431.6349999999998</v>
      </c>
      <c r="H82" s="171">
        <f t="shared" si="11"/>
        <v>5269.88</v>
      </c>
      <c r="I82" s="171">
        <f t="shared" si="12"/>
        <v>1431.6349999999998</v>
      </c>
      <c r="J82" s="171">
        <f t="shared" si="13"/>
        <v>6060.362</v>
      </c>
      <c r="K82" s="162">
        <f t="shared" si="14"/>
        <v>1717.9619999999998</v>
      </c>
      <c r="L82" s="161">
        <f t="shared" si="15"/>
        <v>590</v>
      </c>
      <c r="M82" s="162">
        <f>ROUND(2300*1.18,0)</f>
        <v>2714</v>
      </c>
      <c r="N82" s="163">
        <f>ROUND(1260*1.18,0)</f>
        <v>1487</v>
      </c>
      <c r="O82" s="163">
        <f t="shared" si="16"/>
        <v>6969.4163</v>
      </c>
      <c r="P82" s="163">
        <f t="shared" si="4"/>
        <v>8363.29956</v>
      </c>
      <c r="Q82" s="247">
        <v>7631</v>
      </c>
      <c r="R82" s="247">
        <f t="shared" si="17"/>
        <v>9157.199999999999</v>
      </c>
      <c r="S82" s="186"/>
    </row>
    <row r="83" spans="1:19" ht="12.75">
      <c r="A83" s="156">
        <v>39</v>
      </c>
      <c r="B83" s="76" t="s">
        <v>118</v>
      </c>
      <c r="C83" s="73">
        <v>1055</v>
      </c>
      <c r="D83" s="74">
        <v>4466</v>
      </c>
      <c r="E83" s="74">
        <v>5036</v>
      </c>
      <c r="F83" s="171">
        <f t="shared" si="10"/>
        <v>1244.8999999999999</v>
      </c>
      <c r="G83" s="171">
        <f t="shared" si="9"/>
        <v>1431.6349999999998</v>
      </c>
      <c r="H83" s="171">
        <f t="shared" si="11"/>
        <v>5269.88</v>
      </c>
      <c r="I83" s="171">
        <f t="shared" si="12"/>
        <v>1431.6349999999998</v>
      </c>
      <c r="J83" s="171">
        <f t="shared" si="13"/>
        <v>6060.362</v>
      </c>
      <c r="K83" s="162">
        <f t="shared" si="14"/>
        <v>1717.9619999999998</v>
      </c>
      <c r="L83" s="161">
        <f t="shared" si="15"/>
        <v>590</v>
      </c>
      <c r="M83" s="162">
        <f>ROUND(2300*1.18,0)</f>
        <v>2714</v>
      </c>
      <c r="N83" s="163">
        <f>ROUND(1290*1.18,0)</f>
        <v>1522</v>
      </c>
      <c r="O83" s="163">
        <f t="shared" si="16"/>
        <v>6969.4163</v>
      </c>
      <c r="P83" s="163">
        <f t="shared" si="4"/>
        <v>8363.29956</v>
      </c>
      <c r="Q83" s="247">
        <v>7859</v>
      </c>
      <c r="R83" s="247">
        <f t="shared" si="17"/>
        <v>9430.8</v>
      </c>
      <c r="S83" s="186"/>
    </row>
    <row r="84" spans="1:19" ht="12.75">
      <c r="A84" s="156"/>
      <c r="B84" s="72" t="s">
        <v>119</v>
      </c>
      <c r="C84" s="73"/>
      <c r="D84" s="74"/>
      <c r="E84" s="74"/>
      <c r="F84" s="171"/>
      <c r="G84" s="171">
        <f t="shared" si="9"/>
        <v>0</v>
      </c>
      <c r="H84" s="171"/>
      <c r="I84" s="171"/>
      <c r="J84" s="171"/>
      <c r="K84" s="162"/>
      <c r="L84" s="157"/>
      <c r="M84" s="158"/>
      <c r="N84" s="159"/>
      <c r="O84" s="163"/>
      <c r="P84" s="163"/>
      <c r="Q84" s="247"/>
      <c r="R84" s="247"/>
      <c r="S84" s="186"/>
    </row>
    <row r="85" spans="1:19" ht="12.75">
      <c r="A85" s="156">
        <v>40</v>
      </c>
      <c r="B85" s="76" t="s">
        <v>120</v>
      </c>
      <c r="C85" s="73">
        <v>1274</v>
      </c>
      <c r="D85" s="74">
        <v>13417</v>
      </c>
      <c r="E85" s="74">
        <v>9500</v>
      </c>
      <c r="F85" s="171">
        <f>C85*1.18</f>
        <v>1503.32</v>
      </c>
      <c r="G85" s="171">
        <f t="shared" si="9"/>
        <v>1728.8179999999998</v>
      </c>
      <c r="H85" s="171">
        <f>D85*1.18</f>
        <v>15832.06</v>
      </c>
      <c r="I85" s="171">
        <f>F85*1.15</f>
        <v>1728.8179999999998</v>
      </c>
      <c r="J85" s="171">
        <f>H85*1.15</f>
        <v>18206.869</v>
      </c>
      <c r="K85" s="162">
        <f>I85*1.2</f>
        <v>2074.5815999999995</v>
      </c>
      <c r="L85" s="161">
        <f>ROUND(600*1.18,0)</f>
        <v>708</v>
      </c>
      <c r="M85" s="162">
        <f>ROUND(6900*1.18,0)</f>
        <v>8142</v>
      </c>
      <c r="N85" s="246" t="s">
        <v>15</v>
      </c>
      <c r="O85" s="163">
        <f>J85*1.15</f>
        <v>20937.899349999996</v>
      </c>
      <c r="P85" s="163">
        <f t="shared" si="4"/>
        <v>25125.479219999994</v>
      </c>
      <c r="Q85" s="247">
        <v>14825</v>
      </c>
      <c r="R85" s="247">
        <f t="shared" si="17"/>
        <v>17790</v>
      </c>
      <c r="S85" s="186"/>
    </row>
    <row r="86" spans="1:19" ht="12.75">
      <c r="A86" s="156">
        <v>41</v>
      </c>
      <c r="B86" s="76" t="s">
        <v>121</v>
      </c>
      <c r="C86" s="73">
        <v>1274</v>
      </c>
      <c r="D86" s="74">
        <v>14263</v>
      </c>
      <c r="E86" s="74">
        <v>10098</v>
      </c>
      <c r="F86" s="171">
        <f>C86*1.18</f>
        <v>1503.32</v>
      </c>
      <c r="G86" s="171">
        <f t="shared" si="9"/>
        <v>1728.8179999999998</v>
      </c>
      <c r="H86" s="171">
        <f>D86*1.18</f>
        <v>16830.34</v>
      </c>
      <c r="I86" s="171">
        <f>F86*1.15</f>
        <v>1728.8179999999998</v>
      </c>
      <c r="J86" s="171">
        <f>H86*1.15</f>
        <v>19354.891</v>
      </c>
      <c r="K86" s="162">
        <f>I86*1.2</f>
        <v>2074.5815999999995</v>
      </c>
      <c r="L86" s="161">
        <f>ROUND(600*1.18,0)</f>
        <v>708</v>
      </c>
      <c r="M86" s="162">
        <f>ROUND(7330*1.18,0)</f>
        <v>8649</v>
      </c>
      <c r="N86" s="246" t="s">
        <v>15</v>
      </c>
      <c r="O86" s="163">
        <f>J86*1.15</f>
        <v>22258.124649999998</v>
      </c>
      <c r="P86" s="163">
        <f t="shared" si="4"/>
        <v>26709.749579999996</v>
      </c>
      <c r="Q86" s="247">
        <v>15758</v>
      </c>
      <c r="R86" s="247">
        <f t="shared" si="17"/>
        <v>18909.6</v>
      </c>
      <c r="S86" s="186"/>
    </row>
    <row r="87" spans="1:19" ht="12.75">
      <c r="A87" s="156">
        <v>42</v>
      </c>
      <c r="B87" s="76" t="s">
        <v>122</v>
      </c>
      <c r="C87" s="73">
        <v>1274</v>
      </c>
      <c r="D87" s="74">
        <v>13840</v>
      </c>
      <c r="E87" s="74">
        <v>9800</v>
      </c>
      <c r="F87" s="171">
        <f>C87*1.18</f>
        <v>1503.32</v>
      </c>
      <c r="G87" s="171">
        <f t="shared" si="9"/>
        <v>1728.8179999999998</v>
      </c>
      <c r="H87" s="171">
        <f>D87*1.18</f>
        <v>16331.199999999999</v>
      </c>
      <c r="I87" s="171">
        <f>F87*1.15</f>
        <v>1728.8179999999998</v>
      </c>
      <c r="J87" s="171">
        <f>H87*1.15</f>
        <v>18780.879999999997</v>
      </c>
      <c r="K87" s="162">
        <f>I87*1.2</f>
        <v>2074.5815999999995</v>
      </c>
      <c r="L87" s="161">
        <f>ROUND(600*1.18,0)</f>
        <v>708</v>
      </c>
      <c r="M87" s="162">
        <f>ROUND(7120*1.18,0)</f>
        <v>8402</v>
      </c>
      <c r="N87" s="246" t="s">
        <v>15</v>
      </c>
      <c r="O87" s="163">
        <f>J87*1.15</f>
        <v>21598.011999999995</v>
      </c>
      <c r="P87" s="163">
        <f t="shared" si="4"/>
        <v>25917.614399999995</v>
      </c>
      <c r="Q87" s="247">
        <v>15293</v>
      </c>
      <c r="R87" s="247">
        <f t="shared" si="17"/>
        <v>18351.6</v>
      </c>
      <c r="S87" s="186"/>
    </row>
    <row r="88" spans="1:19" ht="12.75">
      <c r="A88" s="156">
        <v>43</v>
      </c>
      <c r="B88" s="76" t="s">
        <v>123</v>
      </c>
      <c r="C88" s="73">
        <v>1274</v>
      </c>
      <c r="D88" s="74">
        <v>13730</v>
      </c>
      <c r="E88" s="74">
        <v>9721</v>
      </c>
      <c r="F88" s="171">
        <f>C88*1.18</f>
        <v>1503.32</v>
      </c>
      <c r="G88" s="171">
        <f t="shared" si="9"/>
        <v>1728.8179999999998</v>
      </c>
      <c r="H88" s="171">
        <f>D88*1.18</f>
        <v>16201.4</v>
      </c>
      <c r="I88" s="171">
        <f>F88*1.15</f>
        <v>1728.8179999999998</v>
      </c>
      <c r="J88" s="171">
        <f>H88*1.15</f>
        <v>18631.609999999997</v>
      </c>
      <c r="K88" s="162">
        <f>I88*1.2</f>
        <v>2074.5815999999995</v>
      </c>
      <c r="L88" s="161">
        <f>ROUND(600*1.18,0)</f>
        <v>708</v>
      </c>
      <c r="M88" s="162">
        <f>ROUND(7060*1.18,0)</f>
        <v>8331</v>
      </c>
      <c r="N88" s="246" t="s">
        <v>15</v>
      </c>
      <c r="O88" s="163">
        <f>J88*1.15</f>
        <v>21426.351499999993</v>
      </c>
      <c r="P88" s="163">
        <f t="shared" si="4"/>
        <v>25711.62179999999</v>
      </c>
      <c r="Q88" s="247">
        <v>15170</v>
      </c>
      <c r="R88" s="247">
        <f t="shared" si="17"/>
        <v>18204</v>
      </c>
      <c r="S88" s="186"/>
    </row>
    <row r="89" spans="1:19" ht="12.75">
      <c r="A89" s="156">
        <v>44</v>
      </c>
      <c r="B89" s="76" t="s">
        <v>124</v>
      </c>
      <c r="C89" s="73">
        <v>538</v>
      </c>
      <c r="D89" s="74">
        <v>4080</v>
      </c>
      <c r="E89" s="74">
        <v>2890</v>
      </c>
      <c r="F89" s="171">
        <f>C89*1.18</f>
        <v>634.8399999999999</v>
      </c>
      <c r="G89" s="171">
        <f t="shared" si="9"/>
        <v>730.0659999999998</v>
      </c>
      <c r="H89" s="171">
        <f>D89*1.18</f>
        <v>4814.4</v>
      </c>
      <c r="I89" s="171">
        <f>F89*1.15</f>
        <v>730.0659999999998</v>
      </c>
      <c r="J89" s="171">
        <f>H89*1.15</f>
        <v>5536.5599999999995</v>
      </c>
      <c r="K89" s="162">
        <f>I89*1.2</f>
        <v>876.0791999999998</v>
      </c>
      <c r="L89" s="161">
        <f>ROUND(250*1.18,0)</f>
        <v>295</v>
      </c>
      <c r="M89" s="162">
        <f>ROUND(2100*1.18,0)</f>
        <v>2478</v>
      </c>
      <c r="N89" s="246" t="s">
        <v>15</v>
      </c>
      <c r="O89" s="163">
        <f>J89*1.15</f>
        <v>6367.043999999999</v>
      </c>
      <c r="P89" s="163">
        <f t="shared" si="4"/>
        <v>7640.452799999998</v>
      </c>
      <c r="Q89" s="247">
        <v>4510</v>
      </c>
      <c r="R89" s="247">
        <f t="shared" si="17"/>
        <v>5412</v>
      </c>
      <c r="S89" s="186"/>
    </row>
    <row r="90" spans="1:19" ht="12.75">
      <c r="A90" s="156"/>
      <c r="B90" s="72" t="s">
        <v>125</v>
      </c>
      <c r="C90" s="73"/>
      <c r="D90" s="74"/>
      <c r="E90" s="74"/>
      <c r="F90" s="171"/>
      <c r="G90" s="171">
        <f t="shared" si="9"/>
        <v>0</v>
      </c>
      <c r="H90" s="171"/>
      <c r="I90" s="171"/>
      <c r="J90" s="171"/>
      <c r="K90" s="162"/>
      <c r="L90" s="157"/>
      <c r="M90" s="158"/>
      <c r="N90" s="159"/>
      <c r="O90" s="163"/>
      <c r="P90" s="163"/>
      <c r="Q90" s="247"/>
      <c r="R90" s="247"/>
      <c r="S90" s="186"/>
    </row>
    <row r="91" spans="1:19" ht="12.75">
      <c r="A91" s="156">
        <v>45</v>
      </c>
      <c r="B91" s="76" t="s">
        <v>126</v>
      </c>
      <c r="C91" s="73">
        <v>1274</v>
      </c>
      <c r="D91" s="74">
        <v>15366</v>
      </c>
      <c r="E91" s="74">
        <v>10880</v>
      </c>
      <c r="F91" s="171">
        <f>C91*1.18</f>
        <v>1503.32</v>
      </c>
      <c r="G91" s="171">
        <f t="shared" si="9"/>
        <v>1728.8179999999998</v>
      </c>
      <c r="H91" s="171">
        <f>D91*1.18</f>
        <v>18131.879999999997</v>
      </c>
      <c r="I91" s="171">
        <f>F91*1.15</f>
        <v>1728.8179999999998</v>
      </c>
      <c r="J91" s="171">
        <f>H91*1.15</f>
        <v>20851.661999999997</v>
      </c>
      <c r="K91" s="162">
        <f>I91*1.2</f>
        <v>2074.5815999999995</v>
      </c>
      <c r="L91" s="161">
        <f>ROUND(600*1.18,0)</f>
        <v>708</v>
      </c>
      <c r="M91" s="162">
        <f>ROUND(7900*1.18,0)</f>
        <v>9322</v>
      </c>
      <c r="N91" s="246" t="s">
        <v>15</v>
      </c>
      <c r="O91" s="163">
        <f>J91*1.15</f>
        <v>23979.411299999992</v>
      </c>
      <c r="P91" s="163">
        <f t="shared" si="4"/>
        <v>28775.29355999999</v>
      </c>
      <c r="Q91" s="247">
        <v>16979</v>
      </c>
      <c r="R91" s="247">
        <f t="shared" si="17"/>
        <v>20374.8</v>
      </c>
      <c r="S91" s="186"/>
    </row>
    <row r="92" spans="1:19" ht="12.75">
      <c r="A92" s="156">
        <v>46</v>
      </c>
      <c r="B92" s="76" t="s">
        <v>127</v>
      </c>
      <c r="C92" s="73">
        <v>1274</v>
      </c>
      <c r="D92" s="74">
        <v>14060</v>
      </c>
      <c r="E92" s="74">
        <v>9955</v>
      </c>
      <c r="F92" s="171">
        <f>C92*1.18</f>
        <v>1503.32</v>
      </c>
      <c r="G92" s="171">
        <f t="shared" si="9"/>
        <v>1728.8179999999998</v>
      </c>
      <c r="H92" s="171">
        <f>D92*1.18</f>
        <v>16590.8</v>
      </c>
      <c r="I92" s="171">
        <f>F92*1.15</f>
        <v>1728.8179999999998</v>
      </c>
      <c r="J92" s="171">
        <f>H92*1.15</f>
        <v>19079.42</v>
      </c>
      <c r="K92" s="162">
        <f>I92*1.2</f>
        <v>2074.5815999999995</v>
      </c>
      <c r="L92" s="161">
        <f>ROUND(600*1.18,0)</f>
        <v>708</v>
      </c>
      <c r="M92" s="162">
        <f>ROUND(7230*1.18,0)</f>
        <v>8531</v>
      </c>
      <c r="N92" s="246" t="s">
        <v>15</v>
      </c>
      <c r="O92" s="163">
        <f>J92*1.15</f>
        <v>21941.332999999995</v>
      </c>
      <c r="P92" s="163">
        <f t="shared" si="4"/>
        <v>26329.599599999994</v>
      </c>
      <c r="Q92" s="247">
        <v>15535</v>
      </c>
      <c r="R92" s="247">
        <f t="shared" si="17"/>
        <v>18642</v>
      </c>
      <c r="S92" s="186"/>
    </row>
    <row r="93" spans="1:19" ht="12.75">
      <c r="A93" s="156">
        <v>47</v>
      </c>
      <c r="B93" s="76" t="s">
        <v>128</v>
      </c>
      <c r="C93" s="73">
        <v>1274</v>
      </c>
      <c r="D93" s="74">
        <v>13895</v>
      </c>
      <c r="E93" s="74">
        <v>9838</v>
      </c>
      <c r="F93" s="171">
        <f>C93*1.18</f>
        <v>1503.32</v>
      </c>
      <c r="G93" s="171">
        <f t="shared" si="9"/>
        <v>1728.8179999999998</v>
      </c>
      <c r="H93" s="171">
        <f>D93*1.18</f>
        <v>16396.1</v>
      </c>
      <c r="I93" s="171">
        <f>F93*1.15</f>
        <v>1728.8179999999998</v>
      </c>
      <c r="J93" s="171">
        <f>H93*1.15</f>
        <v>18855.514999999996</v>
      </c>
      <c r="K93" s="162">
        <f>I93*1.2</f>
        <v>2074.5815999999995</v>
      </c>
      <c r="L93" s="161">
        <f>ROUND(600*1.18,0)</f>
        <v>708</v>
      </c>
      <c r="M93" s="162">
        <f>ROUND(7140*1.18,0)</f>
        <v>8425</v>
      </c>
      <c r="N93" s="246" t="s">
        <v>15</v>
      </c>
      <c r="O93" s="163">
        <f>J93*1.15</f>
        <v>21683.842249999994</v>
      </c>
      <c r="P93" s="163">
        <f t="shared" si="4"/>
        <v>26020.610699999994</v>
      </c>
      <c r="Q93" s="247">
        <v>15353</v>
      </c>
      <c r="R93" s="247">
        <f t="shared" si="17"/>
        <v>18423.6</v>
      </c>
      <c r="S93" s="186"/>
    </row>
    <row r="94" spans="1:19" ht="12.75">
      <c r="A94" s="156">
        <v>48</v>
      </c>
      <c r="B94" s="76" t="s">
        <v>129</v>
      </c>
      <c r="C94" s="73">
        <v>1274</v>
      </c>
      <c r="D94" s="74">
        <v>10900</v>
      </c>
      <c r="E94" s="74">
        <v>7717</v>
      </c>
      <c r="F94" s="171">
        <f>C94*1.18</f>
        <v>1503.32</v>
      </c>
      <c r="G94" s="171">
        <f t="shared" si="9"/>
        <v>1728.8179999999998</v>
      </c>
      <c r="H94" s="171">
        <f>D94*1.18</f>
        <v>12862</v>
      </c>
      <c r="I94" s="171">
        <f>F94*1.15</f>
        <v>1728.8179999999998</v>
      </c>
      <c r="J94" s="171">
        <f>H94*1.15</f>
        <v>14791.3</v>
      </c>
      <c r="K94" s="162">
        <f>I94*1.2</f>
        <v>2074.5815999999995</v>
      </c>
      <c r="L94" s="161">
        <f>ROUND(600*1.18,0)</f>
        <v>708</v>
      </c>
      <c r="M94" s="162">
        <f>ROUND(5600*1.18,0)</f>
        <v>6608</v>
      </c>
      <c r="N94" s="246" t="s">
        <v>15</v>
      </c>
      <c r="O94" s="163">
        <f>J94*1.15</f>
        <v>17009.995</v>
      </c>
      <c r="P94" s="163">
        <f t="shared" si="4"/>
        <v>20411.994</v>
      </c>
      <c r="Q94" s="247">
        <v>12043</v>
      </c>
      <c r="R94" s="247">
        <f t="shared" si="17"/>
        <v>14451.6</v>
      </c>
      <c r="S94" s="186"/>
    </row>
    <row r="95" spans="1:19" ht="12.75">
      <c r="A95" s="156">
        <v>49</v>
      </c>
      <c r="B95" s="76" t="s">
        <v>130</v>
      </c>
      <c r="C95" s="73">
        <v>1274</v>
      </c>
      <c r="D95" s="74">
        <v>9925</v>
      </c>
      <c r="E95" s="74">
        <v>7027</v>
      </c>
      <c r="F95" s="171">
        <f>C95*1.18</f>
        <v>1503.32</v>
      </c>
      <c r="G95" s="171">
        <f t="shared" si="9"/>
        <v>1728.8179999999998</v>
      </c>
      <c r="H95" s="171">
        <f>D95*1.18</f>
        <v>11711.5</v>
      </c>
      <c r="I95" s="171">
        <f>F95*1.15</f>
        <v>1728.8179999999998</v>
      </c>
      <c r="J95" s="171">
        <f>H95*1.15</f>
        <v>13468.224999999999</v>
      </c>
      <c r="K95" s="162">
        <f>I95*1.2</f>
        <v>2074.5815999999995</v>
      </c>
      <c r="L95" s="161">
        <f>ROUND(600*1.18,0)</f>
        <v>708</v>
      </c>
      <c r="M95" s="162">
        <f>ROUND(5100*1.18,0)</f>
        <v>6018</v>
      </c>
      <c r="N95" s="246" t="s">
        <v>15</v>
      </c>
      <c r="O95" s="163">
        <f>J95*1.15</f>
        <v>15488.458749999998</v>
      </c>
      <c r="P95" s="163">
        <f t="shared" si="4"/>
        <v>18586.150499999996</v>
      </c>
      <c r="Q95" s="247">
        <v>10966</v>
      </c>
      <c r="R95" s="247">
        <f t="shared" si="17"/>
        <v>13159.199999999999</v>
      </c>
      <c r="S95" s="186"/>
    </row>
    <row r="96" spans="1:19" ht="12.75">
      <c r="A96" s="156"/>
      <c r="B96" s="72" t="s">
        <v>131</v>
      </c>
      <c r="C96" s="73"/>
      <c r="D96" s="74"/>
      <c r="E96" s="74"/>
      <c r="F96" s="171"/>
      <c r="G96" s="171">
        <f t="shared" si="9"/>
        <v>0</v>
      </c>
      <c r="H96" s="171"/>
      <c r="I96" s="171"/>
      <c r="J96" s="171"/>
      <c r="K96" s="162"/>
      <c r="L96" s="157"/>
      <c r="M96" s="158"/>
      <c r="N96" s="159"/>
      <c r="O96" s="163"/>
      <c r="P96" s="163"/>
      <c r="Q96" s="247"/>
      <c r="R96" s="247"/>
      <c r="S96" s="186"/>
    </row>
    <row r="97" spans="1:19" ht="12.75">
      <c r="A97" s="156">
        <v>50</v>
      </c>
      <c r="B97" s="76" t="s">
        <v>132</v>
      </c>
      <c r="C97" s="73">
        <v>1274</v>
      </c>
      <c r="D97" s="74">
        <v>15751</v>
      </c>
      <c r="E97" s="74">
        <v>11153</v>
      </c>
      <c r="F97" s="171">
        <f>C97*1.18</f>
        <v>1503.32</v>
      </c>
      <c r="G97" s="171">
        <f t="shared" si="9"/>
        <v>1728.8179999999998</v>
      </c>
      <c r="H97" s="171">
        <f>D97*1.18</f>
        <v>18586.18</v>
      </c>
      <c r="I97" s="171">
        <f>F97*1.15</f>
        <v>1728.8179999999998</v>
      </c>
      <c r="J97" s="171">
        <f>H97*1.15</f>
        <v>21374.107</v>
      </c>
      <c r="K97" s="162">
        <f>I97*1.2</f>
        <v>2074.5815999999995</v>
      </c>
      <c r="L97" s="161">
        <f>ROUND(600*1.18,0)</f>
        <v>708</v>
      </c>
      <c r="M97" s="162">
        <f>ROUND(8100*1.18,0)</f>
        <v>9558</v>
      </c>
      <c r="N97" s="246" t="s">
        <v>15</v>
      </c>
      <c r="O97" s="163">
        <f>J97*1.15</f>
        <v>24580.223049999997</v>
      </c>
      <c r="P97" s="163">
        <f t="shared" si="4"/>
        <v>29496.267659999994</v>
      </c>
      <c r="Q97" s="247">
        <v>17405</v>
      </c>
      <c r="R97" s="247">
        <f t="shared" si="17"/>
        <v>20886</v>
      </c>
      <c r="S97" s="186"/>
    </row>
    <row r="98" spans="1:19" ht="12.75">
      <c r="A98" s="156">
        <v>51</v>
      </c>
      <c r="B98" s="76" t="s">
        <v>133</v>
      </c>
      <c r="C98" s="73">
        <v>1274</v>
      </c>
      <c r="D98" s="74">
        <v>15163</v>
      </c>
      <c r="E98" s="74">
        <v>10736</v>
      </c>
      <c r="F98" s="171">
        <f>C98*1.18</f>
        <v>1503.32</v>
      </c>
      <c r="G98" s="171">
        <f t="shared" si="9"/>
        <v>1728.8179999999998</v>
      </c>
      <c r="H98" s="171">
        <f>D98*1.18</f>
        <v>17892.34</v>
      </c>
      <c r="I98" s="171">
        <f>F98*1.15</f>
        <v>1728.8179999999998</v>
      </c>
      <c r="J98" s="171">
        <f>H98*1.15</f>
        <v>20576.191</v>
      </c>
      <c r="K98" s="162">
        <f>I98*1.2</f>
        <v>2074.5815999999995</v>
      </c>
      <c r="L98" s="161">
        <f>ROUND(600*1.18,0)</f>
        <v>708</v>
      </c>
      <c r="M98" s="162">
        <f>ROUND(7800*1.18,0)</f>
        <v>9204</v>
      </c>
      <c r="N98" s="246" t="s">
        <v>15</v>
      </c>
      <c r="O98" s="163">
        <f>J98*1.15</f>
        <v>23662.619649999997</v>
      </c>
      <c r="P98" s="163">
        <f t="shared" si="4"/>
        <v>28395.143579999996</v>
      </c>
      <c r="Q98" s="247">
        <v>16754</v>
      </c>
      <c r="R98" s="247">
        <f t="shared" si="17"/>
        <v>20104.8</v>
      </c>
      <c r="S98" s="186"/>
    </row>
    <row r="99" spans="1:19" ht="12.75">
      <c r="A99" s="156">
        <v>52</v>
      </c>
      <c r="B99" s="76" t="s">
        <v>134</v>
      </c>
      <c r="C99" s="73">
        <v>1274</v>
      </c>
      <c r="D99" s="74">
        <v>14870</v>
      </c>
      <c r="E99" s="74">
        <v>10528</v>
      </c>
      <c r="F99" s="171">
        <f>C99*1.18</f>
        <v>1503.32</v>
      </c>
      <c r="G99" s="171">
        <f t="shared" si="9"/>
        <v>1728.8179999999998</v>
      </c>
      <c r="H99" s="171">
        <f>D99*1.18</f>
        <v>17546.6</v>
      </c>
      <c r="I99" s="171">
        <f>F99*1.15</f>
        <v>1728.8179999999998</v>
      </c>
      <c r="J99" s="171">
        <f>H99*1.15</f>
        <v>20178.589999999997</v>
      </c>
      <c r="K99" s="162">
        <f>I99*1.2</f>
        <v>2074.5815999999995</v>
      </c>
      <c r="L99" s="161">
        <f>ROUND(600*1.18,0)</f>
        <v>708</v>
      </c>
      <c r="M99" s="162">
        <f>ROUND(7640*1.18,0)</f>
        <v>9015</v>
      </c>
      <c r="N99" s="246" t="s">
        <v>15</v>
      </c>
      <c r="O99" s="163">
        <f>J99*1.15</f>
        <v>23205.378499999995</v>
      </c>
      <c r="P99" s="163">
        <f t="shared" si="4"/>
        <v>27846.454199999993</v>
      </c>
      <c r="Q99" s="247">
        <v>16429</v>
      </c>
      <c r="R99" s="247">
        <f t="shared" si="17"/>
        <v>19714.8</v>
      </c>
      <c r="S99" s="186"/>
    </row>
    <row r="100" spans="1:19" ht="12.75">
      <c r="A100" s="156">
        <v>53</v>
      </c>
      <c r="B100" s="76" t="s">
        <v>135</v>
      </c>
      <c r="C100" s="73">
        <v>1274</v>
      </c>
      <c r="D100" s="74">
        <v>9925</v>
      </c>
      <c r="E100" s="74">
        <v>7027</v>
      </c>
      <c r="F100" s="171">
        <f>C100*1.18</f>
        <v>1503.32</v>
      </c>
      <c r="G100" s="171">
        <f t="shared" si="9"/>
        <v>1728.8179999999998</v>
      </c>
      <c r="H100" s="171">
        <f>D100*1.18</f>
        <v>11711.5</v>
      </c>
      <c r="I100" s="171">
        <f>F100*1.15</f>
        <v>1728.8179999999998</v>
      </c>
      <c r="J100" s="171">
        <f>H100*1.15</f>
        <v>13468.224999999999</v>
      </c>
      <c r="K100" s="162">
        <f>I100*1.2</f>
        <v>2074.5815999999995</v>
      </c>
      <c r="L100" s="161">
        <f>ROUND(600*1.18,0)</f>
        <v>708</v>
      </c>
      <c r="M100" s="162">
        <f>ROUND(5100*1.18,0)</f>
        <v>6018</v>
      </c>
      <c r="N100" s="246" t="s">
        <v>15</v>
      </c>
      <c r="O100" s="163">
        <f>J100*1.15</f>
        <v>15488.458749999998</v>
      </c>
      <c r="P100" s="163">
        <f t="shared" si="4"/>
        <v>18586.150499999996</v>
      </c>
      <c r="Q100" s="247">
        <v>10966</v>
      </c>
      <c r="R100" s="247">
        <f t="shared" si="17"/>
        <v>13159.199999999999</v>
      </c>
      <c r="S100" s="186"/>
    </row>
    <row r="101" spans="1:19" ht="12.75">
      <c r="A101" s="156">
        <v>54</v>
      </c>
      <c r="B101" s="76" t="s">
        <v>136</v>
      </c>
      <c r="C101" s="73">
        <v>1274</v>
      </c>
      <c r="D101" s="74">
        <v>10900</v>
      </c>
      <c r="E101" s="74">
        <v>7717</v>
      </c>
      <c r="F101" s="171">
        <f>C101*1.18</f>
        <v>1503.32</v>
      </c>
      <c r="G101" s="171">
        <f t="shared" si="9"/>
        <v>1728.8179999999998</v>
      </c>
      <c r="H101" s="171">
        <f>D101*1.18</f>
        <v>12862</v>
      </c>
      <c r="I101" s="171">
        <f>F101*1.15</f>
        <v>1728.8179999999998</v>
      </c>
      <c r="J101" s="171">
        <f>H101*1.15</f>
        <v>14791.3</v>
      </c>
      <c r="K101" s="162">
        <f>I101*1.2</f>
        <v>2074.5815999999995</v>
      </c>
      <c r="L101" s="161">
        <f>ROUND(600*1.18,0)</f>
        <v>708</v>
      </c>
      <c r="M101" s="162">
        <f>ROUND(5600*1.18,0)</f>
        <v>6608</v>
      </c>
      <c r="N101" s="246" t="s">
        <v>15</v>
      </c>
      <c r="O101" s="163">
        <f>J101*1.15</f>
        <v>17009.995</v>
      </c>
      <c r="P101" s="163">
        <f t="shared" si="4"/>
        <v>20411.994</v>
      </c>
      <c r="Q101" s="247">
        <v>12043</v>
      </c>
      <c r="R101" s="247">
        <f t="shared" si="17"/>
        <v>14451.6</v>
      </c>
      <c r="S101" s="186"/>
    </row>
    <row r="102" spans="1:19" ht="12.75">
      <c r="A102" s="156"/>
      <c r="B102" s="72" t="s">
        <v>137</v>
      </c>
      <c r="C102" s="73"/>
      <c r="D102" s="74"/>
      <c r="E102" s="74"/>
      <c r="F102" s="171"/>
      <c r="G102" s="171">
        <f t="shared" si="9"/>
        <v>0</v>
      </c>
      <c r="H102" s="171"/>
      <c r="I102" s="171"/>
      <c r="J102" s="171"/>
      <c r="K102" s="162"/>
      <c r="L102" s="157"/>
      <c r="M102" s="158"/>
      <c r="N102" s="159"/>
      <c r="O102" s="163"/>
      <c r="P102" s="163"/>
      <c r="Q102" s="247"/>
      <c r="R102" s="247"/>
      <c r="S102" s="186"/>
    </row>
    <row r="103" spans="1:19" ht="12.75">
      <c r="A103" s="156">
        <v>55</v>
      </c>
      <c r="B103" s="76" t="s">
        <v>138</v>
      </c>
      <c r="C103" s="73">
        <v>1274</v>
      </c>
      <c r="D103" s="74">
        <v>21780</v>
      </c>
      <c r="E103" s="74">
        <v>15420</v>
      </c>
      <c r="F103" s="171">
        <f>C103*1.18</f>
        <v>1503.32</v>
      </c>
      <c r="G103" s="171">
        <f t="shared" si="9"/>
        <v>1728.8179999999998</v>
      </c>
      <c r="H103" s="171">
        <f>D103*1.18</f>
        <v>25700.399999999998</v>
      </c>
      <c r="I103" s="171">
        <f>F103*1.15</f>
        <v>1728.8179999999998</v>
      </c>
      <c r="J103" s="171">
        <f aca="true" t="shared" si="18" ref="J103:J109">H103*1.15</f>
        <v>29555.459999999995</v>
      </c>
      <c r="K103" s="162">
        <f>I103*1.2</f>
        <v>2074.5815999999995</v>
      </c>
      <c r="L103" s="161">
        <f>ROUND(600*1.18,0)</f>
        <v>708</v>
      </c>
      <c r="M103" s="162">
        <f>ROUND(11200*1.18,0)</f>
        <v>13216</v>
      </c>
      <c r="N103" s="246" t="s">
        <v>15</v>
      </c>
      <c r="O103" s="163">
        <f>J103*1.15</f>
        <v>33988.778999999995</v>
      </c>
      <c r="P103" s="163">
        <f t="shared" si="4"/>
        <v>40786.534799999994</v>
      </c>
      <c r="Q103" s="247">
        <v>24064</v>
      </c>
      <c r="R103" s="247">
        <f t="shared" si="17"/>
        <v>28876.8</v>
      </c>
      <c r="S103" s="186"/>
    </row>
    <row r="104" spans="1:19" ht="12.75">
      <c r="A104" s="156">
        <v>56</v>
      </c>
      <c r="B104" s="76" t="s">
        <v>139</v>
      </c>
      <c r="C104" s="73">
        <v>1274</v>
      </c>
      <c r="D104" s="74">
        <v>21358</v>
      </c>
      <c r="E104" s="74">
        <v>15121</v>
      </c>
      <c r="F104" s="171">
        <f>C104*1.18</f>
        <v>1503.32</v>
      </c>
      <c r="G104" s="171">
        <f aca="true" t="shared" si="19" ref="G104:G109">F104*1.15</f>
        <v>1728.8179999999998</v>
      </c>
      <c r="H104" s="171">
        <f>D104*1.18</f>
        <v>25202.44</v>
      </c>
      <c r="I104" s="171">
        <f>F104*1.15</f>
        <v>1728.8179999999998</v>
      </c>
      <c r="J104" s="171">
        <f t="shared" si="18"/>
        <v>28982.805999999997</v>
      </c>
      <c r="K104" s="162">
        <f>I104*1.2</f>
        <v>2074.5815999999995</v>
      </c>
      <c r="L104" s="161">
        <f>ROUND(600*1.18,0)</f>
        <v>708</v>
      </c>
      <c r="M104" s="162">
        <f>ROUND(10980*1.18,0)</f>
        <v>12956</v>
      </c>
      <c r="N104" s="246" t="s">
        <v>15</v>
      </c>
      <c r="O104" s="163">
        <f>J104*1.15</f>
        <v>33330.226899999994</v>
      </c>
      <c r="P104" s="163">
        <f t="shared" si="4"/>
        <v>39996.27227999999</v>
      </c>
      <c r="Q104" s="247">
        <v>23597</v>
      </c>
      <c r="R104" s="247">
        <f t="shared" si="17"/>
        <v>28316.399999999998</v>
      </c>
      <c r="S104" s="186"/>
    </row>
    <row r="105" spans="1:19" ht="12.75">
      <c r="A105" s="156">
        <v>57</v>
      </c>
      <c r="B105" s="76" t="s">
        <v>140</v>
      </c>
      <c r="C105" s="73" t="s">
        <v>15</v>
      </c>
      <c r="D105" s="74">
        <v>21630</v>
      </c>
      <c r="E105" s="74">
        <v>15314</v>
      </c>
      <c r="F105" s="171"/>
      <c r="G105" s="171">
        <f t="shared" si="19"/>
        <v>0</v>
      </c>
      <c r="H105" s="171">
        <f>D105*1.18</f>
        <v>25523.399999999998</v>
      </c>
      <c r="I105" s="171"/>
      <c r="J105" s="171">
        <f t="shared" si="18"/>
        <v>29351.909999999996</v>
      </c>
      <c r="K105" s="162"/>
      <c r="L105" s="161" t="s">
        <v>15</v>
      </c>
      <c r="M105" s="162">
        <f>ROUND(11120*1.18,0)</f>
        <v>13122</v>
      </c>
      <c r="N105" s="246" t="s">
        <v>15</v>
      </c>
      <c r="O105" s="163">
        <f>J105*1.15</f>
        <v>33754.69649999999</v>
      </c>
      <c r="P105" s="163">
        <f t="shared" si="4"/>
        <v>40505.63579999999</v>
      </c>
      <c r="Q105" s="247">
        <v>23898</v>
      </c>
      <c r="R105" s="247">
        <f t="shared" si="17"/>
        <v>28677.6</v>
      </c>
      <c r="S105" s="186"/>
    </row>
    <row r="106" spans="1:19" ht="12.75">
      <c r="A106" s="156"/>
      <c r="B106" s="72" t="s">
        <v>141</v>
      </c>
      <c r="C106" s="73"/>
      <c r="D106" s="74"/>
      <c r="E106" s="74"/>
      <c r="F106" s="171"/>
      <c r="G106" s="171">
        <f t="shared" si="19"/>
        <v>0</v>
      </c>
      <c r="H106" s="171"/>
      <c r="I106" s="171"/>
      <c r="J106" s="171">
        <f t="shared" si="18"/>
        <v>0</v>
      </c>
      <c r="K106" s="162"/>
      <c r="L106" s="157"/>
      <c r="M106" s="158"/>
      <c r="N106" s="159"/>
      <c r="O106" s="163"/>
      <c r="P106" s="163"/>
      <c r="Q106" s="247"/>
      <c r="R106" s="247"/>
      <c r="S106" s="186"/>
    </row>
    <row r="107" spans="1:19" ht="12.75">
      <c r="A107" s="156">
        <v>58</v>
      </c>
      <c r="B107" s="76" t="s">
        <v>142</v>
      </c>
      <c r="C107" s="73">
        <v>1055</v>
      </c>
      <c r="D107" s="74">
        <v>7977</v>
      </c>
      <c r="E107" s="74">
        <v>7390</v>
      </c>
      <c r="F107" s="171">
        <f>C107*1.18</f>
        <v>1244.8999999999999</v>
      </c>
      <c r="G107" s="171">
        <f t="shared" si="19"/>
        <v>1431.6349999999998</v>
      </c>
      <c r="H107" s="171">
        <f>D107*1.18</f>
        <v>9412.859999999999</v>
      </c>
      <c r="I107" s="171">
        <f>F107*1.15</f>
        <v>1431.6349999999998</v>
      </c>
      <c r="J107" s="171">
        <f t="shared" si="18"/>
        <v>10824.788999999997</v>
      </c>
      <c r="K107" s="162">
        <f>I107*1.2</f>
        <v>1717.9619999999998</v>
      </c>
      <c r="L107" s="161">
        <f>ROUND(500*1.18,0)</f>
        <v>590</v>
      </c>
      <c r="M107" s="162">
        <f>ROUND(4100*1.18,0)</f>
        <v>4838</v>
      </c>
      <c r="N107" s="246">
        <f>ROUND(1900*1.18,0)</f>
        <v>2242</v>
      </c>
      <c r="O107" s="163">
        <f>J107*1.15</f>
        <v>12448.507349999996</v>
      </c>
      <c r="P107" s="163">
        <f t="shared" si="4"/>
        <v>14938.208819999994</v>
      </c>
      <c r="Q107" s="247">
        <v>11532</v>
      </c>
      <c r="R107" s="247">
        <f t="shared" si="17"/>
        <v>13838.4</v>
      </c>
      <c r="S107" s="186"/>
    </row>
    <row r="108" spans="1:19" ht="12.75">
      <c r="A108" s="156">
        <v>59</v>
      </c>
      <c r="B108" s="76" t="s">
        <v>143</v>
      </c>
      <c r="C108" s="73">
        <v>1055</v>
      </c>
      <c r="D108" s="74">
        <v>9337</v>
      </c>
      <c r="E108" s="74">
        <v>7021</v>
      </c>
      <c r="F108" s="171">
        <f>C108*1.18</f>
        <v>1244.8999999999999</v>
      </c>
      <c r="G108" s="171">
        <f t="shared" si="19"/>
        <v>1431.6349999999998</v>
      </c>
      <c r="H108" s="171">
        <f>D108*1.18</f>
        <v>11017.66</v>
      </c>
      <c r="I108" s="171">
        <f>F108*1.15</f>
        <v>1431.6349999999998</v>
      </c>
      <c r="J108" s="171">
        <f t="shared" si="18"/>
        <v>12670.309</v>
      </c>
      <c r="K108" s="162">
        <f>I108*1.2</f>
        <v>1717.9619999999998</v>
      </c>
      <c r="L108" s="161">
        <f>ROUND(500*1.18,0)</f>
        <v>590</v>
      </c>
      <c r="M108" s="162">
        <f>ROUND(4800*1.18,0)</f>
        <v>5664</v>
      </c>
      <c r="N108" s="246">
        <f>ROUND(1800*1.18,0)</f>
        <v>2124</v>
      </c>
      <c r="O108" s="163">
        <f>J108*1.15</f>
        <v>14570.855349999998</v>
      </c>
      <c r="P108" s="163">
        <f>O108*1.2</f>
        <v>17485.02642</v>
      </c>
      <c r="Q108" s="247">
        <v>10957</v>
      </c>
      <c r="R108" s="247">
        <f t="shared" si="17"/>
        <v>13148.4</v>
      </c>
      <c r="S108" s="186"/>
    </row>
    <row r="109" spans="1:19" ht="13.5" thickBot="1">
      <c r="A109" s="156">
        <v>60</v>
      </c>
      <c r="B109" s="76" t="s">
        <v>144</v>
      </c>
      <c r="C109" s="73">
        <v>1055</v>
      </c>
      <c r="D109" s="74">
        <v>10513</v>
      </c>
      <c r="E109" s="74">
        <v>6065</v>
      </c>
      <c r="F109" s="171">
        <f>C109*1.18</f>
        <v>1244.8999999999999</v>
      </c>
      <c r="G109" s="171">
        <f t="shared" si="19"/>
        <v>1431.6349999999998</v>
      </c>
      <c r="H109" s="171">
        <f>D109*1.18</f>
        <v>12405.34</v>
      </c>
      <c r="I109" s="171">
        <f>F109*1.15</f>
        <v>1431.6349999999998</v>
      </c>
      <c r="J109" s="171">
        <f t="shared" si="18"/>
        <v>14266.141</v>
      </c>
      <c r="K109" s="162">
        <f>I109*1.2</f>
        <v>1717.9619999999998</v>
      </c>
      <c r="L109" s="164">
        <f>ROUND(500*1.18,0)</f>
        <v>590</v>
      </c>
      <c r="M109" s="165">
        <f>ROUND(4910*1.18,0)</f>
        <v>5794</v>
      </c>
      <c r="N109" s="248">
        <f>ROUND(1560*1.18,0)</f>
        <v>1841</v>
      </c>
      <c r="O109" s="163">
        <f>J109*1.15</f>
        <v>16406.062149999998</v>
      </c>
      <c r="P109" s="163">
        <f>O109*1.2</f>
        <v>19687.274579999998</v>
      </c>
      <c r="Q109" s="247">
        <v>9465</v>
      </c>
      <c r="R109" s="247">
        <f t="shared" si="17"/>
        <v>11358</v>
      </c>
      <c r="S109" s="186"/>
    </row>
    <row r="110" spans="1:18" ht="12.75">
      <c r="A110" s="54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7"/>
      <c r="O110" s="167"/>
      <c r="P110" s="167"/>
      <c r="Q110" s="195"/>
      <c r="R110" s="55"/>
    </row>
    <row r="111" spans="1:18" ht="12.75">
      <c r="A111" s="280" t="s">
        <v>46</v>
      </c>
      <c r="B111" s="280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167"/>
      <c r="O111" s="167"/>
      <c r="P111" s="167"/>
      <c r="Q111" s="55"/>
      <c r="R111" s="55"/>
    </row>
    <row r="112" spans="1:18" ht="12.75">
      <c r="A112" s="286"/>
      <c r="B112" s="286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167"/>
      <c r="O112" s="167"/>
      <c r="P112" s="167"/>
      <c r="Q112" s="55"/>
      <c r="R112" s="55"/>
    </row>
    <row r="113" spans="1:18" ht="27" customHeight="1">
      <c r="A113" s="284" t="s">
        <v>47</v>
      </c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5"/>
      <c r="R113" s="190"/>
    </row>
    <row r="114" spans="1:18" ht="23.25" customHeight="1">
      <c r="A114" s="284" t="s">
        <v>265</v>
      </c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191"/>
    </row>
    <row r="115" spans="1:18" ht="12.75">
      <c r="A115" s="54"/>
      <c r="B115" s="169"/>
      <c r="C115" s="166"/>
      <c r="D115" s="62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55"/>
      <c r="R115" s="55"/>
    </row>
    <row r="116" spans="1:18" ht="12.75">
      <c r="A116" s="37"/>
      <c r="B116" s="37" t="s">
        <v>266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</row>
    <row r="117" spans="1:18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</row>
    <row r="118" spans="1:18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1:18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1:18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</row>
  </sheetData>
  <sheetProtection/>
  <mergeCells count="29">
    <mergeCell ref="A13:N13"/>
    <mergeCell ref="S15:S16"/>
    <mergeCell ref="A111:B111"/>
    <mergeCell ref="A14:B14"/>
    <mergeCell ref="A15:A16"/>
    <mergeCell ref="B15:B16"/>
    <mergeCell ref="F15:R15"/>
    <mergeCell ref="C15:E15"/>
    <mergeCell ref="A114:Q114"/>
    <mergeCell ref="K6:T6"/>
    <mergeCell ref="A9:N9"/>
    <mergeCell ref="A10:N10"/>
    <mergeCell ref="A11:N11"/>
    <mergeCell ref="B56:C56"/>
    <mergeCell ref="B49:C49"/>
    <mergeCell ref="B50:C50"/>
    <mergeCell ref="B51:C51"/>
    <mergeCell ref="B32:C32"/>
    <mergeCell ref="B39:C39"/>
    <mergeCell ref="B40:C40"/>
    <mergeCell ref="B33:C33"/>
    <mergeCell ref="B34:C34"/>
    <mergeCell ref="A113:Q113"/>
    <mergeCell ref="B55:C55"/>
    <mergeCell ref="A112:B112"/>
    <mergeCell ref="B54:C54"/>
    <mergeCell ref="B60:C60"/>
    <mergeCell ref="B61:C61"/>
    <mergeCell ref="B62:C62"/>
  </mergeCells>
  <printOptions/>
  <pageMargins left="0.8661417322834646" right="0.15748031496062992" top="0.5905511811023623" bottom="0.5905511811023623" header="0.551181102362204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25">
      <selection activeCell="H4" sqref="H4:Q4"/>
    </sheetView>
  </sheetViews>
  <sheetFormatPr defaultColWidth="9.140625" defaultRowHeight="12.75"/>
  <cols>
    <col min="1" max="1" width="4.28125" style="0" customWidth="1"/>
    <col min="2" max="2" width="37.7109375" style="0" customWidth="1"/>
    <col min="3" max="5" width="9.140625" style="0" hidden="1" customWidth="1"/>
    <col min="6" max="6" width="0.2890625" style="0" hidden="1" customWidth="1"/>
    <col min="7" max="7" width="12.00390625" style="0" hidden="1" customWidth="1"/>
    <col min="8" max="8" width="0.2890625" style="0" hidden="1" customWidth="1"/>
    <col min="9" max="9" width="12.00390625" style="0" customWidth="1"/>
    <col min="10" max="10" width="13.57421875" style="0" hidden="1" customWidth="1"/>
    <col min="11" max="11" width="0.2890625" style="0" hidden="1" customWidth="1"/>
    <col min="12" max="13" width="0" style="0" hidden="1" customWidth="1"/>
    <col min="14" max="14" width="11.00390625" style="0" customWidth="1"/>
    <col min="15" max="15" width="3.57421875" style="0" hidden="1" customWidth="1"/>
    <col min="16" max="16" width="11.140625" style="0" customWidth="1"/>
    <col min="17" max="17" width="12.140625" style="0" customWidth="1"/>
  </cols>
  <sheetData>
    <row r="1" spans="1:17" ht="12.75">
      <c r="A1" s="38"/>
      <c r="B1" s="39"/>
      <c r="C1" s="39"/>
      <c r="D1" s="39"/>
      <c r="E1" s="39"/>
      <c r="F1" s="275" t="s">
        <v>0</v>
      </c>
      <c r="G1" s="275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2.75">
      <c r="A2" s="38"/>
      <c r="B2" s="39"/>
      <c r="C2" s="39"/>
      <c r="D2" s="39"/>
      <c r="E2" s="39"/>
      <c r="F2" s="275" t="s">
        <v>241</v>
      </c>
      <c r="G2" s="275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2.75">
      <c r="A3" s="38"/>
      <c r="B3" s="39"/>
      <c r="C3" s="39"/>
      <c r="D3" s="39"/>
      <c r="E3" s="39"/>
      <c r="F3" s="275" t="s">
        <v>242</v>
      </c>
      <c r="G3" s="275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26.25" customHeight="1">
      <c r="A4" s="38"/>
      <c r="B4" s="39"/>
      <c r="C4" s="39"/>
      <c r="D4" s="39"/>
      <c r="E4" s="39"/>
      <c r="F4" s="85"/>
      <c r="G4" s="85"/>
      <c r="H4" s="276" t="s">
        <v>252</v>
      </c>
      <c r="I4" s="276"/>
      <c r="J4" s="276"/>
      <c r="K4" s="257"/>
      <c r="L4" s="257"/>
      <c r="M4" s="257"/>
      <c r="N4" s="257"/>
      <c r="O4" s="257"/>
      <c r="P4" s="257"/>
      <c r="Q4" s="257"/>
    </row>
    <row r="5" spans="1:17" ht="12.75">
      <c r="A5" s="38"/>
      <c r="B5" s="39"/>
      <c r="C5" s="39"/>
      <c r="D5" s="39"/>
      <c r="E5" s="39"/>
      <c r="F5" s="86"/>
      <c r="G5" s="86"/>
      <c r="H5" s="275" t="s">
        <v>314</v>
      </c>
      <c r="I5" s="275"/>
      <c r="J5" s="275"/>
      <c r="K5" s="293"/>
      <c r="L5" s="293"/>
      <c r="M5" s="293"/>
      <c r="N5" s="293"/>
      <c r="O5" s="293"/>
      <c r="P5" s="293"/>
      <c r="Q5" s="293"/>
    </row>
    <row r="6" spans="1:17" ht="12.7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6"/>
      <c r="O6" s="46"/>
      <c r="P6" s="46"/>
      <c r="Q6" s="60"/>
    </row>
    <row r="7" spans="1:17" ht="15.75">
      <c r="A7" s="273" t="s">
        <v>2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178"/>
      <c r="P7" s="178"/>
      <c r="Q7" s="61"/>
    </row>
    <row r="8" spans="1:17" ht="15.75">
      <c r="A8" s="273" t="s">
        <v>145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178"/>
      <c r="P8" s="178"/>
      <c r="Q8" s="61"/>
    </row>
    <row r="9" spans="1:17" ht="15">
      <c r="A9" s="282" t="s">
        <v>315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179"/>
      <c r="P9" s="179"/>
      <c r="Q9" s="87">
        <v>1.058</v>
      </c>
    </row>
    <row r="10" spans="1:17" ht="12.75">
      <c r="A10" s="283"/>
      <c r="B10" s="28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6"/>
      <c r="O10" s="46"/>
      <c r="P10" s="46"/>
      <c r="Q10" s="48"/>
    </row>
    <row r="11" spans="1:17" ht="34.5" customHeight="1">
      <c r="A11" s="253" t="s">
        <v>5</v>
      </c>
      <c r="B11" s="253" t="s">
        <v>146</v>
      </c>
      <c r="C11" s="253" t="s">
        <v>7</v>
      </c>
      <c r="D11" s="253"/>
      <c r="E11" s="253"/>
      <c r="F11" s="253" t="s">
        <v>247</v>
      </c>
      <c r="G11" s="253"/>
      <c r="H11" s="253"/>
      <c r="I11" s="253"/>
      <c r="J11" s="253"/>
      <c r="K11" s="253"/>
      <c r="L11" s="253" t="s">
        <v>8</v>
      </c>
      <c r="M11" s="253"/>
      <c r="N11" s="253"/>
      <c r="O11" s="2"/>
      <c r="P11" s="193"/>
      <c r="Q11" s="299" t="s">
        <v>9</v>
      </c>
    </row>
    <row r="12" spans="1:17" ht="54.75" customHeight="1">
      <c r="A12" s="253"/>
      <c r="B12" s="253"/>
      <c r="C12" s="2" t="s">
        <v>10</v>
      </c>
      <c r="D12" s="2" t="s">
        <v>11</v>
      </c>
      <c r="E12" s="2" t="s">
        <v>12</v>
      </c>
      <c r="F12" s="2" t="s">
        <v>10</v>
      </c>
      <c r="H12" s="2" t="s">
        <v>10</v>
      </c>
      <c r="I12" s="2" t="s">
        <v>10</v>
      </c>
      <c r="J12" s="2" t="s">
        <v>11</v>
      </c>
      <c r="K12" s="2" t="s">
        <v>12</v>
      </c>
      <c r="L12" s="3" t="s">
        <v>10</v>
      </c>
      <c r="M12" s="4" t="s">
        <v>11</v>
      </c>
      <c r="N12" s="2" t="s">
        <v>11</v>
      </c>
      <c r="O12" s="197" t="s">
        <v>10</v>
      </c>
      <c r="P12" s="198" t="s">
        <v>12</v>
      </c>
      <c r="Q12" s="300"/>
    </row>
    <row r="13" spans="1:17" ht="12.75">
      <c r="A13" s="49"/>
      <c r="B13" s="88" t="s">
        <v>147</v>
      </c>
      <c r="C13" s="89">
        <v>6030</v>
      </c>
      <c r="D13" s="90"/>
      <c r="E13" s="91"/>
      <c r="F13" s="172">
        <f aca="true" t="shared" si="0" ref="F13:F20">C13*1.18</f>
        <v>7115.4</v>
      </c>
      <c r="G13" s="172">
        <f aca="true" t="shared" si="1" ref="G13:G34">F13*1.15</f>
        <v>8182.709999999999</v>
      </c>
      <c r="H13" s="172"/>
      <c r="I13" s="172">
        <f>G13*1.2</f>
        <v>9819.251999999999</v>
      </c>
      <c r="J13" s="172"/>
      <c r="K13" s="172"/>
      <c r="L13" s="68">
        <f>ROUND(3000*1.18,0)</f>
        <v>3540</v>
      </c>
      <c r="M13" s="51"/>
      <c r="N13" s="79"/>
      <c r="O13" s="79"/>
      <c r="P13" s="79"/>
      <c r="Q13" s="75"/>
    </row>
    <row r="14" spans="1:17" ht="12.75" customHeight="1">
      <c r="A14" s="49">
        <v>1</v>
      </c>
      <c r="B14" s="50" t="s">
        <v>148</v>
      </c>
      <c r="C14" s="92">
        <v>680</v>
      </c>
      <c r="D14" s="92">
        <v>12260</v>
      </c>
      <c r="E14" s="51" t="s">
        <v>15</v>
      </c>
      <c r="F14" s="172">
        <f t="shared" si="0"/>
        <v>802.4</v>
      </c>
      <c r="G14" s="172">
        <f t="shared" si="1"/>
        <v>922.7599999999999</v>
      </c>
      <c r="H14" s="172">
        <f>D14*1.18</f>
        <v>14466.8</v>
      </c>
      <c r="I14" s="172">
        <f aca="true" t="shared" si="2" ref="I14:I34">G14*1.2</f>
        <v>1107.312</v>
      </c>
      <c r="J14" s="172">
        <f aca="true" t="shared" si="3" ref="J14:J35">H14*1.15</f>
        <v>16636.819999999996</v>
      </c>
      <c r="K14" s="172"/>
      <c r="L14" s="78">
        <f>ROUND(500*1.18,0)</f>
        <v>590</v>
      </c>
      <c r="M14" s="51">
        <f>ROUND(6300*1.18,0)</f>
        <v>7434</v>
      </c>
      <c r="N14" s="183">
        <f>J14*1.2</f>
        <v>19964.183999999994</v>
      </c>
      <c r="O14" s="79"/>
      <c r="P14" s="79"/>
      <c r="Q14" s="75"/>
    </row>
    <row r="15" spans="1:17" ht="12.75">
      <c r="A15" s="49">
        <v>2</v>
      </c>
      <c r="B15" s="50" t="s">
        <v>149</v>
      </c>
      <c r="C15" s="73">
        <v>680</v>
      </c>
      <c r="D15" s="92">
        <v>13804</v>
      </c>
      <c r="E15" s="51" t="s">
        <v>15</v>
      </c>
      <c r="F15" s="172">
        <f t="shared" si="0"/>
        <v>802.4</v>
      </c>
      <c r="G15" s="172">
        <f t="shared" si="1"/>
        <v>922.7599999999999</v>
      </c>
      <c r="H15" s="172">
        <f aca="true" t="shared" si="4" ref="H15:H20">D15*1.18</f>
        <v>16288.72</v>
      </c>
      <c r="I15" s="172">
        <f t="shared" si="2"/>
        <v>1107.312</v>
      </c>
      <c r="J15" s="172">
        <f t="shared" si="3"/>
        <v>18732.028</v>
      </c>
      <c r="K15" s="172"/>
      <c r="L15" s="78">
        <f>ROUND(500*1.18,0)</f>
        <v>590</v>
      </c>
      <c r="M15" s="51">
        <f>ROUND(7100*1.18,0)</f>
        <v>8378</v>
      </c>
      <c r="N15" s="183">
        <f aca="true" t="shared" si="5" ref="N15:N35">J15*1.2</f>
        <v>22478.433599999997</v>
      </c>
      <c r="O15" s="79"/>
      <c r="P15" s="79"/>
      <c r="Q15" s="75"/>
    </row>
    <row r="16" spans="1:17" ht="12.75">
      <c r="A16" s="49">
        <v>3</v>
      </c>
      <c r="B16" s="50" t="s">
        <v>150</v>
      </c>
      <c r="C16" s="92">
        <v>1176</v>
      </c>
      <c r="D16" s="92">
        <v>8750</v>
      </c>
      <c r="E16" s="51" t="s">
        <v>15</v>
      </c>
      <c r="F16" s="172">
        <f t="shared" si="0"/>
        <v>1387.6799999999998</v>
      </c>
      <c r="G16" s="172">
        <f t="shared" si="1"/>
        <v>1595.8319999999997</v>
      </c>
      <c r="H16" s="172">
        <f t="shared" si="4"/>
        <v>10325</v>
      </c>
      <c r="I16" s="172">
        <f t="shared" si="2"/>
        <v>1914.9983999999995</v>
      </c>
      <c r="J16" s="172">
        <f t="shared" si="3"/>
        <v>11873.749999999998</v>
      </c>
      <c r="K16" s="172"/>
      <c r="L16" s="78">
        <f>ROUND(600*1.18,0)</f>
        <v>708</v>
      </c>
      <c r="M16" s="51">
        <f>ROUND(4500*1.18,0)</f>
        <v>5310</v>
      </c>
      <c r="N16" s="183">
        <f t="shared" si="5"/>
        <v>14248.499999999998</v>
      </c>
      <c r="O16" s="79"/>
      <c r="P16" s="79"/>
      <c r="Q16" s="75"/>
    </row>
    <row r="17" spans="1:17" ht="12.75">
      <c r="A17" s="49">
        <v>4</v>
      </c>
      <c r="B17" s="50" t="s">
        <v>151</v>
      </c>
      <c r="C17" s="92">
        <v>772</v>
      </c>
      <c r="D17" s="92">
        <v>5643</v>
      </c>
      <c r="E17" s="51" t="s">
        <v>15</v>
      </c>
      <c r="F17" s="172">
        <f t="shared" si="0"/>
        <v>910.9599999999999</v>
      </c>
      <c r="G17" s="172">
        <f t="shared" si="1"/>
        <v>1047.6039999999998</v>
      </c>
      <c r="H17" s="172">
        <f t="shared" si="4"/>
        <v>6658.74</v>
      </c>
      <c r="I17" s="172">
        <f t="shared" si="2"/>
        <v>1257.1247999999998</v>
      </c>
      <c r="J17" s="172">
        <f t="shared" si="3"/>
        <v>7657.5509999999995</v>
      </c>
      <c r="K17" s="172"/>
      <c r="L17" s="78">
        <f>ROUND(400*1.18,0)</f>
        <v>472</v>
      </c>
      <c r="M17" s="51">
        <f>ROUND(2900*1.18,0)</f>
        <v>3422</v>
      </c>
      <c r="N17" s="183">
        <f t="shared" si="5"/>
        <v>9189.061199999998</v>
      </c>
      <c r="O17" s="79"/>
      <c r="P17" s="79"/>
      <c r="Q17" s="75"/>
    </row>
    <row r="18" spans="1:17" ht="25.5">
      <c r="A18" s="49">
        <v>5</v>
      </c>
      <c r="B18" s="50" t="s">
        <v>152</v>
      </c>
      <c r="C18" s="92">
        <v>1176</v>
      </c>
      <c r="D18" s="92">
        <v>12642</v>
      </c>
      <c r="E18" s="51" t="s">
        <v>15</v>
      </c>
      <c r="F18" s="172">
        <f t="shared" si="0"/>
        <v>1387.6799999999998</v>
      </c>
      <c r="G18" s="172">
        <f t="shared" si="1"/>
        <v>1595.8319999999997</v>
      </c>
      <c r="H18" s="172">
        <f t="shared" si="4"/>
        <v>14917.56</v>
      </c>
      <c r="I18" s="172">
        <f t="shared" si="2"/>
        <v>1914.9983999999995</v>
      </c>
      <c r="J18" s="172">
        <f t="shared" si="3"/>
        <v>17155.194</v>
      </c>
      <c r="K18" s="172"/>
      <c r="L18" s="78">
        <f>ROUND(600*1.18,0)</f>
        <v>708</v>
      </c>
      <c r="M18" s="51">
        <f>ROUND(6500*1.18,0)</f>
        <v>7670</v>
      </c>
      <c r="N18" s="183">
        <f t="shared" si="5"/>
        <v>20586.232799999998</v>
      </c>
      <c r="O18" s="79"/>
      <c r="P18" s="79"/>
      <c r="Q18" s="75"/>
    </row>
    <row r="19" spans="1:17" ht="12.75">
      <c r="A19" s="49">
        <v>6</v>
      </c>
      <c r="B19" s="50" t="s">
        <v>153</v>
      </c>
      <c r="C19" s="92">
        <v>92</v>
      </c>
      <c r="D19" s="92">
        <v>390</v>
      </c>
      <c r="E19" s="51" t="s">
        <v>15</v>
      </c>
      <c r="F19" s="172">
        <f t="shared" si="0"/>
        <v>108.55999999999999</v>
      </c>
      <c r="G19" s="172">
        <f t="shared" si="1"/>
        <v>124.84399999999998</v>
      </c>
      <c r="H19" s="172">
        <f t="shared" si="4"/>
        <v>460.2</v>
      </c>
      <c r="I19" s="172">
        <f t="shared" si="2"/>
        <v>149.81279999999998</v>
      </c>
      <c r="J19" s="172">
        <f t="shared" si="3"/>
        <v>529.2299999999999</v>
      </c>
      <c r="K19" s="172"/>
      <c r="L19" s="78">
        <f>ROUND(50*1.18,0)</f>
        <v>59</v>
      </c>
      <c r="M19" s="51">
        <f>ROUND(200*1.18,0)</f>
        <v>236</v>
      </c>
      <c r="N19" s="183">
        <f t="shared" si="5"/>
        <v>635.0759999999999</v>
      </c>
      <c r="O19" s="79"/>
      <c r="P19" s="79"/>
      <c r="Q19" s="75"/>
    </row>
    <row r="20" spans="1:17" ht="12.75">
      <c r="A20" s="49">
        <v>7</v>
      </c>
      <c r="B20" s="50" t="s">
        <v>154</v>
      </c>
      <c r="C20" s="92">
        <v>974</v>
      </c>
      <c r="D20" s="92">
        <v>14593</v>
      </c>
      <c r="E20" s="51" t="s">
        <v>15</v>
      </c>
      <c r="F20" s="172">
        <f t="shared" si="0"/>
        <v>1149.32</v>
      </c>
      <c r="G20" s="172">
        <f t="shared" si="1"/>
        <v>1321.7179999999998</v>
      </c>
      <c r="H20" s="172">
        <f t="shared" si="4"/>
        <v>17219.739999999998</v>
      </c>
      <c r="I20" s="172">
        <f t="shared" si="2"/>
        <v>1586.0615999999998</v>
      </c>
      <c r="J20" s="172">
        <f t="shared" si="3"/>
        <v>19802.700999999997</v>
      </c>
      <c r="K20" s="172"/>
      <c r="L20" s="78">
        <f>ROUND(500*1.18,0)</f>
        <v>590</v>
      </c>
      <c r="M20" s="51">
        <f>ROUND(7500*1.18,0)</f>
        <v>8850</v>
      </c>
      <c r="N20" s="183">
        <f t="shared" si="5"/>
        <v>23763.241199999997</v>
      </c>
      <c r="O20" s="79"/>
      <c r="P20" s="79"/>
      <c r="Q20" s="75"/>
    </row>
    <row r="21" spans="1:17" ht="12.75">
      <c r="A21" s="65"/>
      <c r="B21" s="65" t="s">
        <v>29</v>
      </c>
      <c r="C21" s="92"/>
      <c r="D21" s="92"/>
      <c r="E21" s="94"/>
      <c r="F21" s="172"/>
      <c r="G21" s="172"/>
      <c r="H21" s="172"/>
      <c r="I21" s="172"/>
      <c r="J21" s="172"/>
      <c r="K21" s="172"/>
      <c r="L21" s="68"/>
      <c r="M21" s="69"/>
      <c r="N21" s="183"/>
      <c r="O21" s="93"/>
      <c r="P21" s="93"/>
      <c r="Q21" s="70"/>
    </row>
    <row r="22" spans="1:17" ht="12.75">
      <c r="A22" s="49">
        <v>8</v>
      </c>
      <c r="B22" s="50" t="s">
        <v>155</v>
      </c>
      <c r="C22" s="92">
        <v>974</v>
      </c>
      <c r="D22" s="92">
        <v>7003</v>
      </c>
      <c r="E22" s="74">
        <v>4080</v>
      </c>
      <c r="F22" s="172">
        <f aca="true" t="shared" si="6" ref="F22:F34">C22*1.18</f>
        <v>1149.32</v>
      </c>
      <c r="G22" s="172">
        <f t="shared" si="1"/>
        <v>1321.7179999999998</v>
      </c>
      <c r="H22" s="172">
        <f aca="true" t="shared" si="7" ref="H22:H35">D22*1.18</f>
        <v>8263.539999999999</v>
      </c>
      <c r="I22" s="172">
        <f t="shared" si="2"/>
        <v>1586.0615999999998</v>
      </c>
      <c r="J22" s="172">
        <f t="shared" si="3"/>
        <v>9503.070999999998</v>
      </c>
      <c r="K22" s="172">
        <f aca="true" t="shared" si="8" ref="K22:K34">E22*1.18</f>
        <v>4814.4</v>
      </c>
      <c r="L22" s="78">
        <f aca="true" t="shared" si="9" ref="L22:L34">ROUND(500*1.18,0)</f>
        <v>590</v>
      </c>
      <c r="M22" s="51">
        <f>ROUND(3600*1.18,0)</f>
        <v>4248</v>
      </c>
      <c r="N22" s="183">
        <f t="shared" si="5"/>
        <v>11403.685199999998</v>
      </c>
      <c r="O22" s="183">
        <f aca="true" t="shared" si="10" ref="O22:O34">K22*1.15</f>
        <v>5536.5599999999995</v>
      </c>
      <c r="P22" s="183">
        <f>O22*1.2</f>
        <v>6643.871999999999</v>
      </c>
      <c r="Q22" s="75"/>
    </row>
    <row r="23" spans="1:17" ht="12.75">
      <c r="A23" s="49">
        <v>9</v>
      </c>
      <c r="B23" s="50" t="s">
        <v>156</v>
      </c>
      <c r="C23" s="92">
        <v>974</v>
      </c>
      <c r="D23" s="92">
        <v>7683</v>
      </c>
      <c r="E23" s="74">
        <v>5441</v>
      </c>
      <c r="F23" s="172">
        <f t="shared" si="6"/>
        <v>1149.32</v>
      </c>
      <c r="G23" s="172">
        <f t="shared" si="1"/>
        <v>1321.7179999999998</v>
      </c>
      <c r="H23" s="172">
        <f t="shared" si="7"/>
        <v>9065.939999999999</v>
      </c>
      <c r="I23" s="172">
        <f t="shared" si="2"/>
        <v>1586.0615999999998</v>
      </c>
      <c r="J23" s="172">
        <f t="shared" si="3"/>
        <v>10425.830999999998</v>
      </c>
      <c r="K23" s="172">
        <f t="shared" si="8"/>
        <v>6420.38</v>
      </c>
      <c r="L23" s="78">
        <f t="shared" si="9"/>
        <v>590</v>
      </c>
      <c r="M23" s="51">
        <f>ROUND(3950*1.18,0)</f>
        <v>4661</v>
      </c>
      <c r="N23" s="183">
        <f t="shared" si="5"/>
        <v>12510.997199999998</v>
      </c>
      <c r="O23" s="183">
        <f t="shared" si="10"/>
        <v>7383.437</v>
      </c>
      <c r="P23" s="183">
        <f aca="true" t="shared" si="11" ref="P23:P34">O23*1.2</f>
        <v>8860.124399999999</v>
      </c>
      <c r="Q23" s="75"/>
    </row>
    <row r="24" spans="1:17" ht="12.75">
      <c r="A24" s="49">
        <v>10</v>
      </c>
      <c r="B24" s="50" t="s">
        <v>157</v>
      </c>
      <c r="C24" s="92">
        <v>974</v>
      </c>
      <c r="D24" s="92">
        <v>8933</v>
      </c>
      <c r="E24" s="74">
        <v>8933</v>
      </c>
      <c r="F24" s="172">
        <f t="shared" si="6"/>
        <v>1149.32</v>
      </c>
      <c r="G24" s="172">
        <f t="shared" si="1"/>
        <v>1321.7179999999998</v>
      </c>
      <c r="H24" s="172">
        <f t="shared" si="7"/>
        <v>10540.939999999999</v>
      </c>
      <c r="I24" s="172">
        <f t="shared" si="2"/>
        <v>1586.0615999999998</v>
      </c>
      <c r="J24" s="172">
        <f t="shared" si="3"/>
        <v>12122.080999999998</v>
      </c>
      <c r="K24" s="172">
        <f t="shared" si="8"/>
        <v>10540.939999999999</v>
      </c>
      <c r="L24" s="78">
        <f t="shared" si="9"/>
        <v>590</v>
      </c>
      <c r="M24" s="51">
        <f>ROUND(4590*1.18,0)</f>
        <v>5416</v>
      </c>
      <c r="N24" s="183">
        <f t="shared" si="5"/>
        <v>14546.497199999998</v>
      </c>
      <c r="O24" s="183">
        <f t="shared" si="10"/>
        <v>12122.080999999998</v>
      </c>
      <c r="P24" s="183">
        <f t="shared" si="11"/>
        <v>14546.497199999998</v>
      </c>
      <c r="Q24" s="75"/>
    </row>
    <row r="25" spans="1:17" ht="12.75">
      <c r="A25" s="49">
        <v>11</v>
      </c>
      <c r="B25" s="50" t="s">
        <v>158</v>
      </c>
      <c r="C25" s="92">
        <v>974</v>
      </c>
      <c r="D25" s="92">
        <v>11910</v>
      </c>
      <c r="E25" s="74">
        <v>7720</v>
      </c>
      <c r="F25" s="172">
        <f t="shared" si="6"/>
        <v>1149.32</v>
      </c>
      <c r="G25" s="172">
        <f t="shared" si="1"/>
        <v>1321.7179999999998</v>
      </c>
      <c r="H25" s="172">
        <f t="shared" si="7"/>
        <v>14053.8</v>
      </c>
      <c r="I25" s="172">
        <f t="shared" si="2"/>
        <v>1586.0615999999998</v>
      </c>
      <c r="J25" s="172">
        <f t="shared" si="3"/>
        <v>16161.869999999997</v>
      </c>
      <c r="K25" s="172">
        <f t="shared" si="8"/>
        <v>9109.6</v>
      </c>
      <c r="L25" s="78">
        <f t="shared" si="9"/>
        <v>590</v>
      </c>
      <c r="M25" s="51">
        <f>ROUND(6120*1.18,0)</f>
        <v>7222</v>
      </c>
      <c r="N25" s="183">
        <f t="shared" si="5"/>
        <v>19394.243999999995</v>
      </c>
      <c r="O25" s="183">
        <f t="shared" si="10"/>
        <v>10476.039999999999</v>
      </c>
      <c r="P25" s="183">
        <f t="shared" si="11"/>
        <v>12571.247999999998</v>
      </c>
      <c r="Q25" s="75"/>
    </row>
    <row r="26" spans="1:17" ht="12.75">
      <c r="A26" s="49">
        <v>12</v>
      </c>
      <c r="B26" s="50" t="s">
        <v>159</v>
      </c>
      <c r="C26" s="92">
        <v>974</v>
      </c>
      <c r="D26" s="92">
        <v>11616</v>
      </c>
      <c r="E26" s="74">
        <v>7390</v>
      </c>
      <c r="F26" s="172">
        <f t="shared" si="6"/>
        <v>1149.32</v>
      </c>
      <c r="G26" s="172">
        <f t="shared" si="1"/>
        <v>1321.7179999999998</v>
      </c>
      <c r="H26" s="172">
        <f t="shared" si="7"/>
        <v>13706.88</v>
      </c>
      <c r="I26" s="172">
        <f t="shared" si="2"/>
        <v>1586.0615999999998</v>
      </c>
      <c r="J26" s="172">
        <f t="shared" si="3"/>
        <v>15762.911999999998</v>
      </c>
      <c r="K26" s="172">
        <f t="shared" si="8"/>
        <v>8720.199999999999</v>
      </c>
      <c r="L26" s="78">
        <f t="shared" si="9"/>
        <v>590</v>
      </c>
      <c r="M26" s="51">
        <f>ROUND(5970*1.18,0)</f>
        <v>7045</v>
      </c>
      <c r="N26" s="183">
        <f t="shared" si="5"/>
        <v>18915.494399999996</v>
      </c>
      <c r="O26" s="183">
        <f t="shared" si="10"/>
        <v>10028.229999999998</v>
      </c>
      <c r="P26" s="183">
        <f t="shared" si="11"/>
        <v>12033.875999999997</v>
      </c>
      <c r="Q26" s="75"/>
    </row>
    <row r="27" spans="1:17" ht="12.75">
      <c r="A27" s="49">
        <v>13</v>
      </c>
      <c r="B27" s="50" t="s">
        <v>160</v>
      </c>
      <c r="C27" s="92">
        <v>974</v>
      </c>
      <c r="D27" s="92">
        <v>12811</v>
      </c>
      <c r="E27" s="74">
        <v>9521</v>
      </c>
      <c r="F27" s="172">
        <f t="shared" si="6"/>
        <v>1149.32</v>
      </c>
      <c r="G27" s="172">
        <f t="shared" si="1"/>
        <v>1321.7179999999998</v>
      </c>
      <c r="H27" s="172">
        <f t="shared" si="7"/>
        <v>15116.98</v>
      </c>
      <c r="I27" s="172">
        <f t="shared" si="2"/>
        <v>1586.0615999999998</v>
      </c>
      <c r="J27" s="172">
        <f t="shared" si="3"/>
        <v>17384.527</v>
      </c>
      <c r="K27" s="172">
        <f t="shared" si="8"/>
        <v>11234.779999999999</v>
      </c>
      <c r="L27" s="78">
        <f t="shared" si="9"/>
        <v>590</v>
      </c>
      <c r="M27" s="51">
        <f>ROUND(6590*1.18,0)</f>
        <v>7776</v>
      </c>
      <c r="N27" s="183">
        <f t="shared" si="5"/>
        <v>20861.432399999998</v>
      </c>
      <c r="O27" s="183">
        <f t="shared" si="10"/>
        <v>12919.996999999998</v>
      </c>
      <c r="P27" s="183">
        <f t="shared" si="11"/>
        <v>15503.996399999996</v>
      </c>
      <c r="Q27" s="75"/>
    </row>
    <row r="28" spans="1:17" ht="12.75">
      <c r="A28" s="49">
        <v>14</v>
      </c>
      <c r="B28" s="50" t="s">
        <v>161</v>
      </c>
      <c r="C28" s="92">
        <v>974</v>
      </c>
      <c r="D28" s="92">
        <v>13491</v>
      </c>
      <c r="E28" s="74">
        <v>9742</v>
      </c>
      <c r="F28" s="172">
        <f t="shared" si="6"/>
        <v>1149.32</v>
      </c>
      <c r="G28" s="172">
        <f t="shared" si="1"/>
        <v>1321.7179999999998</v>
      </c>
      <c r="H28" s="172">
        <f t="shared" si="7"/>
        <v>15919.38</v>
      </c>
      <c r="I28" s="172">
        <f t="shared" si="2"/>
        <v>1586.0615999999998</v>
      </c>
      <c r="J28" s="172">
        <f t="shared" si="3"/>
        <v>18307.286999999997</v>
      </c>
      <c r="K28" s="172">
        <f t="shared" si="8"/>
        <v>11495.56</v>
      </c>
      <c r="L28" s="78">
        <f t="shared" si="9"/>
        <v>590</v>
      </c>
      <c r="M28" s="51">
        <f>ROUND(6940*1.18,0)</f>
        <v>8189</v>
      </c>
      <c r="N28" s="183">
        <f t="shared" si="5"/>
        <v>21968.744399999996</v>
      </c>
      <c r="O28" s="183">
        <f t="shared" si="10"/>
        <v>13219.893999999998</v>
      </c>
      <c r="P28" s="183">
        <f t="shared" si="11"/>
        <v>15863.872799999997</v>
      </c>
      <c r="Q28" s="75"/>
    </row>
    <row r="29" spans="1:17" ht="12.75">
      <c r="A29" s="49">
        <v>15</v>
      </c>
      <c r="B29" s="50" t="s">
        <v>162</v>
      </c>
      <c r="C29" s="92">
        <v>974</v>
      </c>
      <c r="D29" s="92">
        <v>15163</v>
      </c>
      <c r="E29" s="74">
        <v>9742</v>
      </c>
      <c r="F29" s="172">
        <f t="shared" si="6"/>
        <v>1149.32</v>
      </c>
      <c r="G29" s="172">
        <f t="shared" si="1"/>
        <v>1321.7179999999998</v>
      </c>
      <c r="H29" s="172">
        <f t="shared" si="7"/>
        <v>17892.34</v>
      </c>
      <c r="I29" s="172">
        <f t="shared" si="2"/>
        <v>1586.0615999999998</v>
      </c>
      <c r="J29" s="172">
        <f t="shared" si="3"/>
        <v>20576.191</v>
      </c>
      <c r="K29" s="172">
        <f t="shared" si="8"/>
        <v>11495.56</v>
      </c>
      <c r="L29" s="78">
        <f t="shared" si="9"/>
        <v>590</v>
      </c>
      <c r="M29" s="51">
        <f>ROUND(7800*1.18,0)</f>
        <v>9204</v>
      </c>
      <c r="N29" s="183">
        <f t="shared" si="5"/>
        <v>24691.4292</v>
      </c>
      <c r="O29" s="183">
        <f t="shared" si="10"/>
        <v>13219.893999999998</v>
      </c>
      <c r="P29" s="183">
        <f t="shared" si="11"/>
        <v>15863.872799999997</v>
      </c>
      <c r="Q29" s="75"/>
    </row>
    <row r="30" spans="1:17" ht="12.75">
      <c r="A30" s="49">
        <v>16</v>
      </c>
      <c r="B30" s="50" t="s">
        <v>163</v>
      </c>
      <c r="C30" s="92">
        <v>974</v>
      </c>
      <c r="D30" s="92">
        <v>8180</v>
      </c>
      <c r="E30" s="74">
        <v>8565</v>
      </c>
      <c r="F30" s="172">
        <f t="shared" si="6"/>
        <v>1149.32</v>
      </c>
      <c r="G30" s="172">
        <f t="shared" si="1"/>
        <v>1321.7179999999998</v>
      </c>
      <c r="H30" s="172">
        <f t="shared" si="7"/>
        <v>9652.4</v>
      </c>
      <c r="I30" s="172">
        <f t="shared" si="2"/>
        <v>1586.0615999999998</v>
      </c>
      <c r="J30" s="172">
        <f t="shared" si="3"/>
        <v>11100.259999999998</v>
      </c>
      <c r="K30" s="172">
        <f t="shared" si="8"/>
        <v>10106.699999999999</v>
      </c>
      <c r="L30" s="78">
        <f t="shared" si="9"/>
        <v>590</v>
      </c>
      <c r="M30" s="51">
        <f>ROUND(4200*1.18,0)</f>
        <v>4956</v>
      </c>
      <c r="N30" s="183">
        <f t="shared" si="5"/>
        <v>13320.311999999998</v>
      </c>
      <c r="O30" s="183">
        <f t="shared" si="10"/>
        <v>11622.704999999998</v>
      </c>
      <c r="P30" s="183">
        <f t="shared" si="11"/>
        <v>13947.245999999997</v>
      </c>
      <c r="Q30" s="75"/>
    </row>
    <row r="31" spans="1:17" ht="12.75">
      <c r="A31" s="49">
        <v>17</v>
      </c>
      <c r="B31" s="50" t="s">
        <v>164</v>
      </c>
      <c r="C31" s="92">
        <v>974</v>
      </c>
      <c r="D31" s="92">
        <v>8528</v>
      </c>
      <c r="E31" s="74">
        <v>9337</v>
      </c>
      <c r="F31" s="172">
        <f t="shared" si="6"/>
        <v>1149.32</v>
      </c>
      <c r="G31" s="172">
        <f t="shared" si="1"/>
        <v>1321.7179999999998</v>
      </c>
      <c r="H31" s="172">
        <f t="shared" si="7"/>
        <v>10063.039999999999</v>
      </c>
      <c r="I31" s="172">
        <f t="shared" si="2"/>
        <v>1586.0615999999998</v>
      </c>
      <c r="J31" s="172">
        <f t="shared" si="3"/>
        <v>11572.495999999997</v>
      </c>
      <c r="K31" s="172">
        <f t="shared" si="8"/>
        <v>11017.66</v>
      </c>
      <c r="L31" s="78">
        <f t="shared" si="9"/>
        <v>590</v>
      </c>
      <c r="M31" s="51">
        <f>ROUND(4380*1.18,0)</f>
        <v>5168</v>
      </c>
      <c r="N31" s="183">
        <f t="shared" si="5"/>
        <v>13886.995199999996</v>
      </c>
      <c r="O31" s="183">
        <f t="shared" si="10"/>
        <v>12670.309</v>
      </c>
      <c r="P31" s="183">
        <f t="shared" si="11"/>
        <v>15204.370799999999</v>
      </c>
      <c r="Q31" s="75"/>
    </row>
    <row r="32" spans="1:17" ht="12.75">
      <c r="A32" s="49">
        <v>18</v>
      </c>
      <c r="B32" s="50" t="s">
        <v>165</v>
      </c>
      <c r="C32" s="92">
        <v>974</v>
      </c>
      <c r="D32" s="92">
        <v>9925</v>
      </c>
      <c r="E32" s="74">
        <v>5845</v>
      </c>
      <c r="F32" s="172">
        <f t="shared" si="6"/>
        <v>1149.32</v>
      </c>
      <c r="G32" s="172">
        <f t="shared" si="1"/>
        <v>1321.7179999999998</v>
      </c>
      <c r="H32" s="172">
        <f t="shared" si="7"/>
        <v>11711.5</v>
      </c>
      <c r="I32" s="172">
        <f t="shared" si="2"/>
        <v>1586.0615999999998</v>
      </c>
      <c r="J32" s="172">
        <f t="shared" si="3"/>
        <v>13468.224999999999</v>
      </c>
      <c r="K32" s="172">
        <f t="shared" si="8"/>
        <v>6897.099999999999</v>
      </c>
      <c r="L32" s="78">
        <f t="shared" si="9"/>
        <v>590</v>
      </c>
      <c r="M32" s="51">
        <f>ROUND(5100*1.18,0)</f>
        <v>6018</v>
      </c>
      <c r="N32" s="183">
        <f t="shared" si="5"/>
        <v>16161.869999999997</v>
      </c>
      <c r="O32" s="183">
        <f t="shared" si="10"/>
        <v>7931.664999999999</v>
      </c>
      <c r="P32" s="183">
        <f t="shared" si="11"/>
        <v>9517.997999999998</v>
      </c>
      <c r="Q32" s="75"/>
    </row>
    <row r="33" spans="1:17" ht="12.75">
      <c r="A33" s="49">
        <v>19</v>
      </c>
      <c r="B33" s="50" t="s">
        <v>166</v>
      </c>
      <c r="C33" s="92">
        <v>974</v>
      </c>
      <c r="D33" s="92">
        <v>9631</v>
      </c>
      <c r="E33" s="74">
        <v>5624</v>
      </c>
      <c r="F33" s="172">
        <f t="shared" si="6"/>
        <v>1149.32</v>
      </c>
      <c r="G33" s="172">
        <f t="shared" si="1"/>
        <v>1321.7179999999998</v>
      </c>
      <c r="H33" s="172">
        <f t="shared" si="7"/>
        <v>11364.58</v>
      </c>
      <c r="I33" s="172">
        <f t="shared" si="2"/>
        <v>1586.0615999999998</v>
      </c>
      <c r="J33" s="172">
        <f t="shared" si="3"/>
        <v>13069.266999999998</v>
      </c>
      <c r="K33" s="172">
        <f t="shared" si="8"/>
        <v>6636.32</v>
      </c>
      <c r="L33" s="78">
        <f t="shared" si="9"/>
        <v>590</v>
      </c>
      <c r="M33" s="51">
        <f>ROUND(4950*1.18,0)</f>
        <v>5841</v>
      </c>
      <c r="N33" s="183">
        <f t="shared" si="5"/>
        <v>15683.120399999996</v>
      </c>
      <c r="O33" s="183">
        <f t="shared" si="10"/>
        <v>7631.767999999999</v>
      </c>
      <c r="P33" s="183">
        <f t="shared" si="11"/>
        <v>9158.121599999999</v>
      </c>
      <c r="Q33" s="75"/>
    </row>
    <row r="34" spans="1:17" ht="12.75">
      <c r="A34" s="49">
        <v>20</v>
      </c>
      <c r="B34" s="50" t="s">
        <v>167</v>
      </c>
      <c r="C34" s="92">
        <v>974</v>
      </c>
      <c r="D34" s="92">
        <v>11414</v>
      </c>
      <c r="E34" s="74">
        <v>6286</v>
      </c>
      <c r="F34" s="172">
        <f t="shared" si="6"/>
        <v>1149.32</v>
      </c>
      <c r="G34" s="172">
        <f t="shared" si="1"/>
        <v>1321.7179999999998</v>
      </c>
      <c r="H34" s="172">
        <f t="shared" si="7"/>
        <v>13468.519999999999</v>
      </c>
      <c r="I34" s="172">
        <f t="shared" si="2"/>
        <v>1586.0615999999998</v>
      </c>
      <c r="J34" s="172">
        <f t="shared" si="3"/>
        <v>15488.797999999997</v>
      </c>
      <c r="K34" s="172">
        <f t="shared" si="8"/>
        <v>7417.48</v>
      </c>
      <c r="L34" s="78">
        <f t="shared" si="9"/>
        <v>590</v>
      </c>
      <c r="M34" s="51">
        <f>ROUND(5870*1.18,0)</f>
        <v>6927</v>
      </c>
      <c r="N34" s="183">
        <f t="shared" si="5"/>
        <v>18586.557599999996</v>
      </c>
      <c r="O34" s="183">
        <f t="shared" si="10"/>
        <v>8530.101999999999</v>
      </c>
      <c r="P34" s="183">
        <f t="shared" si="11"/>
        <v>10236.122399999998</v>
      </c>
      <c r="Q34" s="75"/>
    </row>
    <row r="35" spans="1:17" ht="13.5" thickBot="1">
      <c r="A35" s="49">
        <v>21</v>
      </c>
      <c r="B35" s="50" t="s">
        <v>168</v>
      </c>
      <c r="C35" s="92" t="s">
        <v>15</v>
      </c>
      <c r="D35" s="92">
        <v>4466</v>
      </c>
      <c r="E35" s="51" t="s">
        <v>15</v>
      </c>
      <c r="F35" s="172"/>
      <c r="G35" s="172"/>
      <c r="H35" s="172">
        <f t="shared" si="7"/>
        <v>5269.88</v>
      </c>
      <c r="I35" s="172"/>
      <c r="J35" s="172">
        <f t="shared" si="3"/>
        <v>6060.362</v>
      </c>
      <c r="K35" s="172"/>
      <c r="L35" s="80" t="s">
        <v>15</v>
      </c>
      <c r="M35" s="81">
        <f>ROUND(2300*1.18,0)</f>
        <v>2714</v>
      </c>
      <c r="N35" s="183">
        <f t="shared" si="5"/>
        <v>7272.4344</v>
      </c>
      <c r="O35" s="79"/>
      <c r="P35" s="79"/>
      <c r="Q35" s="75"/>
    </row>
    <row r="36" spans="1:17" ht="12.75">
      <c r="A36" s="5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53"/>
      <c r="O36" s="53"/>
      <c r="P36" s="53"/>
      <c r="Q36" s="48"/>
    </row>
    <row r="37" spans="1:17" ht="12.75">
      <c r="A37" s="280" t="s">
        <v>46</v>
      </c>
      <c r="B37" s="280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3"/>
      <c r="O37" s="53"/>
      <c r="P37" s="53"/>
      <c r="Q37" s="48"/>
    </row>
    <row r="38" spans="1:17" ht="12.75">
      <c r="A38" s="281"/>
      <c r="B38" s="281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3"/>
      <c r="O38" s="53"/>
      <c r="P38" s="53"/>
      <c r="Q38" s="48"/>
    </row>
    <row r="39" spans="1:17" ht="12.75">
      <c r="A39" s="277" t="s">
        <v>47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43"/>
      <c r="P39" s="43"/>
      <c r="Q39" s="48"/>
    </row>
    <row r="40" spans="1:17" ht="12.7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43"/>
      <c r="P40" s="43"/>
      <c r="Q40" s="48"/>
    </row>
    <row r="41" spans="1:19" ht="22.5" customHeight="1">
      <c r="A41" s="284" t="s">
        <v>267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</row>
    <row r="42" spans="1:17" ht="45" customHeight="1">
      <c r="A42" s="168"/>
      <c r="B42" s="82" t="s">
        <v>74</v>
      </c>
      <c r="C42" s="82"/>
      <c r="D42" s="82"/>
      <c r="E42" s="97" t="s">
        <v>248</v>
      </c>
      <c r="F42" s="97"/>
      <c r="G42" s="298" t="s">
        <v>257</v>
      </c>
      <c r="H42" s="298"/>
      <c r="I42" s="298"/>
      <c r="J42" s="298"/>
      <c r="K42" s="298"/>
      <c r="L42" s="298"/>
      <c r="M42" s="298"/>
      <c r="N42" s="44"/>
      <c r="O42" s="44"/>
      <c r="P42" s="44"/>
      <c r="Q42" s="44"/>
    </row>
    <row r="43" spans="1:17" ht="12.75">
      <c r="A43" s="57"/>
      <c r="B43" s="83"/>
      <c r="C43" s="83"/>
      <c r="D43" s="83"/>
      <c r="E43" s="83"/>
      <c r="F43" s="43"/>
      <c r="G43" s="43"/>
      <c r="H43" s="43"/>
      <c r="I43" s="43"/>
      <c r="J43" s="43"/>
      <c r="K43" s="43"/>
      <c r="L43" s="43"/>
      <c r="M43" s="43"/>
      <c r="N43" s="53"/>
      <c r="O43" s="53"/>
      <c r="P43" s="53"/>
      <c r="Q43" s="48"/>
    </row>
  </sheetData>
  <sheetProtection/>
  <mergeCells count="20">
    <mergeCell ref="Q11:Q12"/>
    <mergeCell ref="A37:B37"/>
    <mergeCell ref="A41:S41"/>
    <mergeCell ref="A38:B38"/>
    <mergeCell ref="A39:N40"/>
    <mergeCell ref="G42:M42"/>
    <mergeCell ref="A8:N8"/>
    <mergeCell ref="A9:N9"/>
    <mergeCell ref="A10:B10"/>
    <mergeCell ref="A11:A12"/>
    <mergeCell ref="B11:B12"/>
    <mergeCell ref="C11:E11"/>
    <mergeCell ref="F11:K11"/>
    <mergeCell ref="L11:N11"/>
    <mergeCell ref="H5:Q5"/>
    <mergeCell ref="A7:N7"/>
    <mergeCell ref="H4:Q4"/>
    <mergeCell ref="F1:Q1"/>
    <mergeCell ref="F2:Q2"/>
    <mergeCell ref="F3:Q3"/>
  </mergeCells>
  <printOptions/>
  <pageMargins left="0.7874015748031497" right="0.3937007874015748" top="0.5118110236220472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55">
      <selection activeCell="J12" sqref="J12"/>
    </sheetView>
  </sheetViews>
  <sheetFormatPr defaultColWidth="9.140625" defaultRowHeight="12.75"/>
  <cols>
    <col min="1" max="1" width="4.28125" style="0" customWidth="1"/>
    <col min="2" max="2" width="35.140625" style="0" customWidth="1"/>
    <col min="3" max="4" width="9.140625" style="0" hidden="1" customWidth="1"/>
    <col min="5" max="5" width="14.57421875" style="0" hidden="1" customWidth="1"/>
    <col min="6" max="6" width="0.2890625" style="0" hidden="1" customWidth="1"/>
    <col min="7" max="7" width="0.13671875" style="0" hidden="1" customWidth="1"/>
    <col min="8" max="8" width="10.57421875" style="0" customWidth="1"/>
    <col min="9" max="9" width="12.00390625" style="0" hidden="1" customWidth="1"/>
    <col min="10" max="10" width="11.57421875" style="0" customWidth="1"/>
    <col min="11" max="11" width="11.28125" style="0" customWidth="1"/>
  </cols>
  <sheetData>
    <row r="1" spans="8:12" ht="12.75">
      <c r="H1" s="199" t="s">
        <v>0</v>
      </c>
      <c r="I1" s="199"/>
      <c r="J1" s="199"/>
      <c r="K1" s="199"/>
      <c r="L1" s="199"/>
    </row>
    <row r="2" spans="1:12" ht="12.75">
      <c r="A2" s="275"/>
      <c r="B2" s="257"/>
      <c r="C2" s="257"/>
      <c r="D2" s="257"/>
      <c r="E2" s="257"/>
      <c r="F2" s="257"/>
      <c r="G2" s="257"/>
      <c r="H2" s="42" t="s">
        <v>242</v>
      </c>
      <c r="I2" s="42"/>
      <c r="J2" s="42"/>
      <c r="K2" s="42"/>
      <c r="L2" s="202"/>
    </row>
    <row r="3" spans="1:12" ht="12.75">
      <c r="A3" s="40"/>
      <c r="B3" s="41"/>
      <c r="C3" s="41"/>
      <c r="D3" s="41"/>
      <c r="E3" s="41"/>
      <c r="F3" s="41"/>
      <c r="G3" s="41"/>
      <c r="H3" s="275" t="s">
        <v>241</v>
      </c>
      <c r="I3" s="275"/>
      <c r="J3" s="275"/>
      <c r="K3" s="306"/>
      <c r="L3" s="202"/>
    </row>
    <row r="4" spans="1:12" ht="12.75">
      <c r="A4" s="40"/>
      <c r="B4" s="41"/>
      <c r="C4" s="41"/>
      <c r="D4" s="41"/>
      <c r="E4" s="41"/>
      <c r="F4" s="41"/>
      <c r="G4" s="41"/>
      <c r="H4" s="42" t="s">
        <v>282</v>
      </c>
      <c r="I4" s="42"/>
      <c r="J4" s="42"/>
      <c r="K4" s="42"/>
      <c r="L4" s="202"/>
    </row>
    <row r="5" spans="1:13" ht="33.75" customHeight="1">
      <c r="A5" s="38"/>
      <c r="B5" s="39"/>
      <c r="C5" s="58"/>
      <c r="D5" s="46"/>
      <c r="E5" s="45" t="s">
        <v>238</v>
      </c>
      <c r="F5" s="184"/>
      <c r="G5" s="42" t="s">
        <v>253</v>
      </c>
      <c r="H5" s="276"/>
      <c r="I5" s="276"/>
      <c r="J5" s="276"/>
      <c r="K5" s="257"/>
      <c r="L5" s="257"/>
      <c r="M5" s="257"/>
    </row>
    <row r="6" spans="1:13" ht="12.75">
      <c r="A6" s="38"/>
      <c r="B6" s="39"/>
      <c r="C6" s="58"/>
      <c r="D6" s="46"/>
      <c r="E6" s="45" t="s">
        <v>258</v>
      </c>
      <c r="F6" s="45" t="s">
        <v>259</v>
      </c>
      <c r="G6" s="41"/>
      <c r="H6" s="275" t="s">
        <v>316</v>
      </c>
      <c r="I6" s="275"/>
      <c r="J6" s="275"/>
      <c r="K6" s="293"/>
      <c r="L6" s="293"/>
      <c r="M6" s="293"/>
    </row>
    <row r="7" spans="1:11" ht="2.25" customHeight="1">
      <c r="A7" s="38"/>
      <c r="B7" s="39"/>
      <c r="C7" s="39"/>
      <c r="D7" s="38"/>
      <c r="E7" s="307"/>
      <c r="F7" s="307"/>
      <c r="G7" s="274"/>
      <c r="H7" s="44"/>
      <c r="I7" s="44"/>
      <c r="J7" s="44"/>
      <c r="K7" s="48"/>
    </row>
    <row r="8" spans="1:11" ht="15.75">
      <c r="A8" s="273" t="s">
        <v>2</v>
      </c>
      <c r="B8" s="273"/>
      <c r="C8" s="273"/>
      <c r="D8" s="273"/>
      <c r="E8" s="274"/>
      <c r="F8" s="274"/>
      <c r="G8" s="274"/>
      <c r="H8" s="44"/>
      <c r="I8" s="44"/>
      <c r="J8" s="44"/>
      <c r="K8" s="61"/>
    </row>
    <row r="9" spans="1:11" ht="15.75" customHeight="1">
      <c r="A9" s="273" t="s">
        <v>169</v>
      </c>
      <c r="B9" s="310"/>
      <c r="C9" s="310"/>
      <c r="D9" s="310"/>
      <c r="E9" s="310"/>
      <c r="F9" s="310"/>
      <c r="G9" s="310"/>
      <c r="H9" s="44"/>
      <c r="I9" s="44"/>
      <c r="J9" s="44"/>
      <c r="K9" s="61"/>
    </row>
    <row r="10" spans="1:11" ht="39.75" customHeight="1">
      <c r="A10" s="273" t="s">
        <v>170</v>
      </c>
      <c r="B10" s="310"/>
      <c r="C10" s="310"/>
      <c r="D10" s="310"/>
      <c r="E10" s="310"/>
      <c r="F10" s="310"/>
      <c r="G10" s="310"/>
      <c r="H10" s="44"/>
      <c r="I10" s="44"/>
      <c r="J10" s="44"/>
      <c r="K10" s="61"/>
    </row>
    <row r="11" spans="1:11" ht="15">
      <c r="A11" s="282" t="s">
        <v>317</v>
      </c>
      <c r="B11" s="282"/>
      <c r="C11" s="282"/>
      <c r="D11" s="282"/>
      <c r="E11" s="274"/>
      <c r="F11" s="274"/>
      <c r="G11" s="274"/>
      <c r="H11" s="44"/>
      <c r="I11" s="44"/>
      <c r="J11" s="44"/>
      <c r="K11" s="61"/>
    </row>
    <row r="12" spans="1:11" ht="15">
      <c r="A12" s="179"/>
      <c r="B12" s="179"/>
      <c r="C12" s="179"/>
      <c r="D12" s="179"/>
      <c r="E12" s="44"/>
      <c r="F12" s="44"/>
      <c r="G12" s="44"/>
      <c r="H12" s="44"/>
      <c r="I12" s="44"/>
      <c r="J12" s="44"/>
      <c r="K12" s="61"/>
    </row>
    <row r="13" spans="1:11" ht="15">
      <c r="A13" s="179"/>
      <c r="B13" s="179" t="s">
        <v>283</v>
      </c>
      <c r="C13" s="179"/>
      <c r="D13" s="179"/>
      <c r="E13" s="44"/>
      <c r="F13" s="44"/>
      <c r="G13" s="44"/>
      <c r="H13" s="44"/>
      <c r="I13" s="44"/>
      <c r="J13" s="44"/>
      <c r="K13" s="61"/>
    </row>
    <row r="14" spans="1:11" ht="12.75">
      <c r="A14" s="283"/>
      <c r="B14" s="283"/>
      <c r="C14" s="1"/>
      <c r="D14" s="46"/>
      <c r="E14" s="48"/>
      <c r="F14" s="48"/>
      <c r="G14" s="48"/>
      <c r="H14" s="48"/>
      <c r="I14" s="48"/>
      <c r="J14" s="48"/>
      <c r="K14" s="48"/>
    </row>
    <row r="15" spans="1:11" ht="63" customHeight="1">
      <c r="A15" s="253" t="s">
        <v>5</v>
      </c>
      <c r="B15" s="253" t="s">
        <v>171</v>
      </c>
      <c r="C15" s="252" t="s">
        <v>172</v>
      </c>
      <c r="D15" s="264"/>
      <c r="E15" s="301" t="s">
        <v>247</v>
      </c>
      <c r="F15" s="302"/>
      <c r="G15" s="303"/>
      <c r="H15" s="301" t="s">
        <v>247</v>
      </c>
      <c r="I15" s="308"/>
      <c r="J15" s="309"/>
      <c r="K15" s="304" t="s">
        <v>9</v>
      </c>
    </row>
    <row r="16" spans="1:11" ht="38.25" customHeight="1">
      <c r="A16" s="253"/>
      <c r="B16" s="253"/>
      <c r="C16" s="4" t="s">
        <v>10</v>
      </c>
      <c r="D16" s="4" t="s">
        <v>11</v>
      </c>
      <c r="E16" s="4" t="s">
        <v>10</v>
      </c>
      <c r="F16" s="4" t="s">
        <v>10</v>
      </c>
      <c r="G16" s="4" t="s">
        <v>11</v>
      </c>
      <c r="H16" s="4" t="s">
        <v>10</v>
      </c>
      <c r="I16" s="4" t="s">
        <v>11</v>
      </c>
      <c r="J16" s="4" t="s">
        <v>11</v>
      </c>
      <c r="K16" s="305"/>
    </row>
    <row r="17" spans="1:11" ht="12.75">
      <c r="A17" s="49">
        <v>1</v>
      </c>
      <c r="B17" s="50" t="s">
        <v>173</v>
      </c>
      <c r="C17" s="52">
        <v>974</v>
      </c>
      <c r="D17" s="95">
        <v>9631</v>
      </c>
      <c r="E17" s="173">
        <f>C17*1.18</f>
        <v>1149.32</v>
      </c>
      <c r="F17" s="173">
        <f>E17*1.15</f>
        <v>1321.7179999999998</v>
      </c>
      <c r="G17" s="173">
        <f>D17*1.18</f>
        <v>11364.58</v>
      </c>
      <c r="H17" s="173">
        <v>1800</v>
      </c>
      <c r="I17" s="173">
        <f>G17*1.15</f>
        <v>13069.266999999998</v>
      </c>
      <c r="J17" s="173">
        <f>I17*1.2</f>
        <v>15683.120399999996</v>
      </c>
      <c r="K17" s="75"/>
    </row>
    <row r="18" spans="1:11" ht="25.5">
      <c r="A18" s="49">
        <v>2</v>
      </c>
      <c r="B18" s="50" t="s">
        <v>174</v>
      </c>
      <c r="C18" s="52">
        <v>588</v>
      </c>
      <c r="D18" s="52">
        <v>3107</v>
      </c>
      <c r="E18" s="173">
        <f>C18*1.18</f>
        <v>693.8399999999999</v>
      </c>
      <c r="F18" s="173">
        <f>E18*1.15</f>
        <v>797.9159999999998</v>
      </c>
      <c r="G18" s="173">
        <f>D18*1.18</f>
        <v>3666.2599999999998</v>
      </c>
      <c r="H18" s="173">
        <v>957</v>
      </c>
      <c r="I18" s="173">
        <f aca="true" t="shared" si="0" ref="I18:I54">G18*1.15</f>
        <v>4216.199</v>
      </c>
      <c r="J18" s="173">
        <f>I18*1.2</f>
        <v>5059.438799999999</v>
      </c>
      <c r="K18" s="75"/>
    </row>
    <row r="19" spans="1:11" ht="27.75" customHeight="1">
      <c r="A19" s="49">
        <v>3</v>
      </c>
      <c r="B19" s="50" t="s">
        <v>175</v>
      </c>
      <c r="C19" s="52">
        <v>772</v>
      </c>
      <c r="D19" s="52">
        <v>7205</v>
      </c>
      <c r="E19" s="173">
        <f>C19*1.18</f>
        <v>910.9599999999999</v>
      </c>
      <c r="F19" s="173">
        <f>E19*1.15</f>
        <v>1047.6039999999998</v>
      </c>
      <c r="G19" s="173">
        <f>D19*1.18</f>
        <v>8501.9</v>
      </c>
      <c r="H19" s="173">
        <v>1800</v>
      </c>
      <c r="I19" s="173">
        <f t="shared" si="0"/>
        <v>9777.185</v>
      </c>
      <c r="J19" s="173">
        <f>I19*1.2</f>
        <v>11732.622</v>
      </c>
      <c r="K19" s="75"/>
    </row>
    <row r="20" spans="1:11" ht="26.25" customHeight="1">
      <c r="A20" s="49">
        <v>4</v>
      </c>
      <c r="B20" s="245" t="s">
        <v>294</v>
      </c>
      <c r="C20" s="52">
        <v>974</v>
      </c>
      <c r="D20" s="52">
        <v>9631</v>
      </c>
      <c r="E20" s="173">
        <f>C20*1.18</f>
        <v>1149.32</v>
      </c>
      <c r="F20" s="173">
        <f>E20*1.15</f>
        <v>1321.7179999999998</v>
      </c>
      <c r="G20" s="173">
        <f>D20*1.18</f>
        <v>11364.58</v>
      </c>
      <c r="H20" s="223">
        <v>1800</v>
      </c>
      <c r="I20" s="173">
        <f t="shared" si="0"/>
        <v>13069.266999999998</v>
      </c>
      <c r="J20" s="223">
        <v>1080</v>
      </c>
      <c r="K20" s="75"/>
    </row>
    <row r="21" spans="1:11" ht="20.25" customHeight="1">
      <c r="A21" s="49"/>
      <c r="B21" s="50" t="s">
        <v>295</v>
      </c>
      <c r="C21" s="52"/>
      <c r="D21" s="52"/>
      <c r="E21" s="173"/>
      <c r="F21" s="173"/>
      <c r="G21" s="173"/>
      <c r="H21" s="186"/>
      <c r="I21" s="173"/>
      <c r="J21" s="173">
        <v>630</v>
      </c>
      <c r="K21" s="75"/>
    </row>
    <row r="22" spans="1:11" ht="15" customHeight="1">
      <c r="A22" s="49"/>
      <c r="B22" s="50" t="s">
        <v>296</v>
      </c>
      <c r="C22" s="52"/>
      <c r="D22" s="52"/>
      <c r="E22" s="173"/>
      <c r="F22" s="173"/>
      <c r="G22" s="173"/>
      <c r="H22" s="186"/>
      <c r="I22" s="173"/>
      <c r="J22" s="173">
        <v>450</v>
      </c>
      <c r="K22" s="75"/>
    </row>
    <row r="23" spans="1:11" ht="25.5">
      <c r="A23" s="49">
        <v>5</v>
      </c>
      <c r="B23" s="50" t="s">
        <v>176</v>
      </c>
      <c r="C23" s="52">
        <v>588</v>
      </c>
      <c r="D23" s="52" t="s">
        <v>15</v>
      </c>
      <c r="E23" s="173">
        <f aca="true" t="shared" si="1" ref="E23:E28">C23*1.18</f>
        <v>693.8399999999999</v>
      </c>
      <c r="F23" s="173">
        <f aca="true" t="shared" si="2" ref="F23:F28">E23*1.15</f>
        <v>797.9159999999998</v>
      </c>
      <c r="G23" s="173"/>
      <c r="H23" s="173">
        <v>957</v>
      </c>
      <c r="I23" s="173">
        <f t="shared" si="0"/>
        <v>0</v>
      </c>
      <c r="J23" s="173"/>
      <c r="K23" s="75"/>
    </row>
    <row r="24" spans="1:11" ht="12.75">
      <c r="A24" s="49">
        <v>6</v>
      </c>
      <c r="B24" s="50" t="s">
        <v>177</v>
      </c>
      <c r="C24" s="52">
        <v>974</v>
      </c>
      <c r="D24" s="52">
        <v>8364</v>
      </c>
      <c r="E24" s="173">
        <f t="shared" si="1"/>
        <v>1149.32</v>
      </c>
      <c r="F24" s="173">
        <f t="shared" si="2"/>
        <v>1321.7179999999998</v>
      </c>
      <c r="G24" s="173">
        <f aca="true" t="shared" si="3" ref="G24:G54">D24*1.18</f>
        <v>9869.519999999999</v>
      </c>
      <c r="H24" s="173">
        <v>1800</v>
      </c>
      <c r="I24" s="173">
        <f t="shared" si="0"/>
        <v>11349.947999999997</v>
      </c>
      <c r="J24" s="173">
        <f>I24*1.2</f>
        <v>13619.937599999996</v>
      </c>
      <c r="K24" s="75"/>
    </row>
    <row r="25" spans="1:11" ht="12.75">
      <c r="A25" s="49">
        <v>7</v>
      </c>
      <c r="B25" s="50" t="s">
        <v>178</v>
      </c>
      <c r="C25" s="52">
        <v>588</v>
      </c>
      <c r="D25" s="52">
        <v>3107</v>
      </c>
      <c r="E25" s="173">
        <f t="shared" si="1"/>
        <v>693.8399999999999</v>
      </c>
      <c r="F25" s="173">
        <f t="shared" si="2"/>
        <v>797.9159999999998</v>
      </c>
      <c r="G25" s="173">
        <f t="shared" si="3"/>
        <v>3666.2599999999998</v>
      </c>
      <c r="H25" s="173">
        <v>957</v>
      </c>
      <c r="I25" s="173">
        <f t="shared" si="0"/>
        <v>4216.199</v>
      </c>
      <c r="J25" s="173">
        <f>I25*1.2</f>
        <v>5059.438799999999</v>
      </c>
      <c r="K25" s="75"/>
    </row>
    <row r="26" spans="1:11" ht="12.75">
      <c r="A26" s="49">
        <v>8</v>
      </c>
      <c r="B26" s="50" t="s">
        <v>179</v>
      </c>
      <c r="C26" s="52">
        <v>974</v>
      </c>
      <c r="D26" s="52">
        <v>8364</v>
      </c>
      <c r="E26" s="173">
        <f t="shared" si="1"/>
        <v>1149.32</v>
      </c>
      <c r="F26" s="173">
        <f t="shared" si="2"/>
        <v>1321.7179999999998</v>
      </c>
      <c r="G26" s="173">
        <f t="shared" si="3"/>
        <v>9869.519999999999</v>
      </c>
      <c r="H26" s="173">
        <v>1800</v>
      </c>
      <c r="I26" s="173">
        <f t="shared" si="0"/>
        <v>11349.947999999997</v>
      </c>
      <c r="J26" s="173">
        <f>I26*1.2</f>
        <v>13619.937599999996</v>
      </c>
      <c r="K26" s="75"/>
    </row>
    <row r="27" spans="1:11" ht="12.75">
      <c r="A27" s="49">
        <v>9</v>
      </c>
      <c r="B27" s="50" t="s">
        <v>180</v>
      </c>
      <c r="C27" s="52">
        <v>588</v>
      </c>
      <c r="D27" s="52">
        <v>6800</v>
      </c>
      <c r="E27" s="173">
        <f t="shared" si="1"/>
        <v>693.8399999999999</v>
      </c>
      <c r="F27" s="173">
        <f t="shared" si="2"/>
        <v>797.9159999999998</v>
      </c>
      <c r="G27" s="173">
        <f t="shared" si="3"/>
        <v>8024</v>
      </c>
      <c r="H27" s="173">
        <v>1800</v>
      </c>
      <c r="I27" s="173">
        <f t="shared" si="0"/>
        <v>9227.599999999999</v>
      </c>
      <c r="J27" s="173">
        <f>I27*1.2</f>
        <v>11073.119999999997</v>
      </c>
      <c r="K27" s="75"/>
    </row>
    <row r="28" spans="1:12" ht="25.5">
      <c r="A28" s="49">
        <v>10</v>
      </c>
      <c r="B28" s="245" t="s">
        <v>181</v>
      </c>
      <c r="C28" s="52">
        <v>588</v>
      </c>
      <c r="D28" s="52">
        <v>6800</v>
      </c>
      <c r="E28" s="173">
        <f t="shared" si="1"/>
        <v>693.8399999999999</v>
      </c>
      <c r="F28" s="173">
        <f t="shared" si="2"/>
        <v>797.9159999999998</v>
      </c>
      <c r="G28" s="173">
        <f t="shared" si="3"/>
        <v>8024</v>
      </c>
      <c r="H28" s="223">
        <v>1258</v>
      </c>
      <c r="I28" s="173">
        <f t="shared" si="0"/>
        <v>9227.599999999999</v>
      </c>
      <c r="J28" s="223">
        <v>9815</v>
      </c>
      <c r="K28" s="75"/>
      <c r="L28" s="251">
        <v>11073</v>
      </c>
    </row>
    <row r="29" spans="1:11" ht="12.75">
      <c r="A29" s="49"/>
      <c r="B29" s="271" t="s">
        <v>279</v>
      </c>
      <c r="C29" s="272"/>
      <c r="D29" s="52"/>
      <c r="E29" s="173"/>
      <c r="F29" s="173"/>
      <c r="G29" s="173"/>
      <c r="H29" s="173"/>
      <c r="I29" s="173"/>
      <c r="J29" s="206">
        <v>3300</v>
      </c>
      <c r="K29" s="75"/>
    </row>
    <row r="30" spans="1:11" ht="12.75">
      <c r="A30" s="49"/>
      <c r="B30" s="271" t="s">
        <v>280</v>
      </c>
      <c r="C30" s="272"/>
      <c r="D30" s="52"/>
      <c r="E30" s="173"/>
      <c r="F30" s="173"/>
      <c r="G30" s="173"/>
      <c r="H30" s="173"/>
      <c r="I30" s="173"/>
      <c r="J30" s="206">
        <v>1115</v>
      </c>
      <c r="K30" s="75"/>
    </row>
    <row r="31" spans="1:11" ht="12.75">
      <c r="A31" s="49"/>
      <c r="B31" s="271" t="s">
        <v>287</v>
      </c>
      <c r="C31" s="272"/>
      <c r="D31" s="52"/>
      <c r="E31" s="173"/>
      <c r="F31" s="173"/>
      <c r="G31" s="173"/>
      <c r="H31" s="173"/>
      <c r="I31" s="173"/>
      <c r="J31" s="206">
        <v>2100</v>
      </c>
      <c r="K31" s="75"/>
    </row>
    <row r="32" spans="1:11" ht="12.75">
      <c r="A32" s="49"/>
      <c r="B32" s="271" t="s">
        <v>281</v>
      </c>
      <c r="C32" s="272"/>
      <c r="D32" s="52"/>
      <c r="E32" s="173"/>
      <c r="F32" s="173"/>
      <c r="G32" s="173"/>
      <c r="H32" s="173"/>
      <c r="I32" s="173"/>
      <c r="J32" s="206">
        <v>3300</v>
      </c>
      <c r="K32" s="75"/>
    </row>
    <row r="33" spans="1:12" ht="38.25">
      <c r="A33" s="49">
        <v>11</v>
      </c>
      <c r="B33" s="245" t="s">
        <v>182</v>
      </c>
      <c r="C33" s="52">
        <v>1176</v>
      </c>
      <c r="D33" s="52">
        <v>7776</v>
      </c>
      <c r="E33" s="173">
        <f>C33*1.18</f>
        <v>1387.6799999999998</v>
      </c>
      <c r="F33" s="173">
        <f>E33*1.15</f>
        <v>1595.8319999999997</v>
      </c>
      <c r="G33" s="173">
        <f t="shared" si="3"/>
        <v>9175.68</v>
      </c>
      <c r="H33" s="223">
        <v>1258</v>
      </c>
      <c r="I33" s="173">
        <f t="shared" si="0"/>
        <v>10552.032</v>
      </c>
      <c r="J33" s="223">
        <v>10855</v>
      </c>
      <c r="K33" s="75"/>
      <c r="L33" s="251">
        <v>12113</v>
      </c>
    </row>
    <row r="34" spans="1:11" ht="12.75">
      <c r="A34" s="49"/>
      <c r="B34" s="50" t="s">
        <v>298</v>
      </c>
      <c r="C34" s="52"/>
      <c r="D34" s="52"/>
      <c r="E34" s="173"/>
      <c r="F34" s="173"/>
      <c r="G34" s="173"/>
      <c r="H34" s="173"/>
      <c r="I34" s="173"/>
      <c r="J34" s="192">
        <v>520</v>
      </c>
      <c r="K34" s="75"/>
    </row>
    <row r="35" spans="1:11" ht="12.75">
      <c r="A35" s="49"/>
      <c r="B35" s="271" t="s">
        <v>279</v>
      </c>
      <c r="C35" s="272"/>
      <c r="D35" s="52"/>
      <c r="E35" s="173"/>
      <c r="F35" s="173"/>
      <c r="G35" s="173"/>
      <c r="H35" s="173"/>
      <c r="I35" s="173"/>
      <c r="J35" s="206">
        <v>3300</v>
      </c>
      <c r="K35" s="75"/>
    </row>
    <row r="36" spans="1:11" ht="12.75">
      <c r="A36" s="49"/>
      <c r="B36" s="271" t="s">
        <v>280</v>
      </c>
      <c r="C36" s="272"/>
      <c r="D36" s="52"/>
      <c r="E36" s="173"/>
      <c r="F36" s="173"/>
      <c r="G36" s="173"/>
      <c r="H36" s="173"/>
      <c r="I36" s="173"/>
      <c r="J36" s="206">
        <v>1115</v>
      </c>
      <c r="K36" s="75"/>
    </row>
    <row r="37" spans="1:11" ht="12.75">
      <c r="A37" s="49"/>
      <c r="B37" s="271" t="s">
        <v>287</v>
      </c>
      <c r="C37" s="272"/>
      <c r="D37" s="52"/>
      <c r="E37" s="173"/>
      <c r="F37" s="173"/>
      <c r="G37" s="173"/>
      <c r="H37" s="173"/>
      <c r="I37" s="173"/>
      <c r="J37" s="206">
        <v>2100</v>
      </c>
      <c r="K37" s="75"/>
    </row>
    <row r="38" spans="1:11" ht="12.75">
      <c r="A38" s="49"/>
      <c r="B38" s="271" t="s">
        <v>281</v>
      </c>
      <c r="C38" s="272"/>
      <c r="D38" s="52"/>
      <c r="E38" s="173"/>
      <c r="F38" s="173"/>
      <c r="G38" s="173"/>
      <c r="H38" s="173"/>
      <c r="I38" s="173"/>
      <c r="J38" s="206">
        <v>3300</v>
      </c>
      <c r="K38" s="75"/>
    </row>
    <row r="39" spans="1:11" ht="12.75">
      <c r="A39" s="49"/>
      <c r="B39" s="203" t="s">
        <v>299</v>
      </c>
      <c r="C39" s="204"/>
      <c r="D39" s="52"/>
      <c r="E39" s="173"/>
      <c r="F39" s="173"/>
      <c r="G39" s="173"/>
      <c r="H39" s="173"/>
      <c r="I39" s="173"/>
      <c r="J39" s="173">
        <v>520</v>
      </c>
      <c r="K39" s="75"/>
    </row>
    <row r="40" spans="1:11" ht="25.5">
      <c r="A40" s="49">
        <v>12</v>
      </c>
      <c r="B40" s="245" t="s">
        <v>183</v>
      </c>
      <c r="C40" s="52">
        <v>386</v>
      </c>
      <c r="D40" s="52">
        <v>1746</v>
      </c>
      <c r="E40" s="173">
        <f>C40*1.18</f>
        <v>455.47999999999996</v>
      </c>
      <c r="F40" s="173">
        <f>E40*1.15</f>
        <v>523.8019999999999</v>
      </c>
      <c r="G40" s="173">
        <f t="shared" si="3"/>
        <v>2060.2799999999997</v>
      </c>
      <c r="H40" s="223">
        <v>1258</v>
      </c>
      <c r="I40" s="173">
        <f t="shared" si="0"/>
        <v>2369.3219999999997</v>
      </c>
      <c r="J40" s="223">
        <v>1500</v>
      </c>
      <c r="K40" s="75"/>
    </row>
    <row r="41" spans="1:11" ht="12.75">
      <c r="A41" s="49"/>
      <c r="B41" s="271" t="s">
        <v>306</v>
      </c>
      <c r="C41" s="272"/>
      <c r="D41" s="52"/>
      <c r="E41" s="173"/>
      <c r="F41" s="173"/>
      <c r="G41" s="173"/>
      <c r="H41" s="173"/>
      <c r="I41" s="173"/>
      <c r="J41" s="173">
        <v>500</v>
      </c>
      <c r="K41" s="75"/>
    </row>
    <row r="42" spans="1:11" ht="12.75">
      <c r="A42" s="49"/>
      <c r="B42" s="271" t="s">
        <v>301</v>
      </c>
      <c r="C42" s="272"/>
      <c r="D42" s="52"/>
      <c r="E42" s="173"/>
      <c r="F42" s="173"/>
      <c r="G42" s="173"/>
      <c r="H42" s="173"/>
      <c r="I42" s="173"/>
      <c r="J42" s="173">
        <v>200</v>
      </c>
      <c r="K42" s="75"/>
    </row>
    <row r="43" spans="1:11" ht="12.75">
      <c r="A43" s="49"/>
      <c r="B43" s="271" t="s">
        <v>307</v>
      </c>
      <c r="C43" s="272"/>
      <c r="D43" s="52"/>
      <c r="E43" s="173"/>
      <c r="F43" s="173"/>
      <c r="G43" s="173"/>
      <c r="H43" s="173"/>
      <c r="I43" s="173"/>
      <c r="J43" s="173">
        <v>300</v>
      </c>
      <c r="K43" s="75"/>
    </row>
    <row r="44" spans="1:11" ht="12.75">
      <c r="A44" s="49"/>
      <c r="B44" s="271" t="s">
        <v>303</v>
      </c>
      <c r="C44" s="272"/>
      <c r="D44" s="52"/>
      <c r="E44" s="173"/>
      <c r="F44" s="173"/>
      <c r="G44" s="173"/>
      <c r="H44" s="173"/>
      <c r="I44" s="173"/>
      <c r="J44" s="173">
        <v>500</v>
      </c>
      <c r="K44" s="75"/>
    </row>
    <row r="45" spans="1:11" ht="12.75">
      <c r="A45" s="49">
        <v>13</v>
      </c>
      <c r="B45" s="50" t="s">
        <v>184</v>
      </c>
      <c r="C45" s="52">
        <v>772</v>
      </c>
      <c r="D45" s="52">
        <v>7205</v>
      </c>
      <c r="E45" s="173">
        <f>C45*1.18</f>
        <v>910.9599999999999</v>
      </c>
      <c r="F45" s="173">
        <f>E45*1.15</f>
        <v>1047.6039999999998</v>
      </c>
      <c r="G45" s="173">
        <f t="shared" si="3"/>
        <v>8501.9</v>
      </c>
      <c r="H45" s="173">
        <f>F45*1.2</f>
        <v>1257.1247999999998</v>
      </c>
      <c r="I45" s="173">
        <f t="shared" si="0"/>
        <v>9777.185</v>
      </c>
      <c r="J45" s="173">
        <f aca="true" t="shared" si="4" ref="J45:J54">I45*1.2</f>
        <v>11732.622</v>
      </c>
      <c r="K45" s="75"/>
    </row>
    <row r="46" spans="1:11" ht="12.75">
      <c r="A46" s="49">
        <v>14</v>
      </c>
      <c r="B46" s="50" t="s">
        <v>185</v>
      </c>
      <c r="C46" s="52">
        <v>772</v>
      </c>
      <c r="D46" s="52">
        <v>7205</v>
      </c>
      <c r="E46" s="173">
        <f>C46*1.18</f>
        <v>910.9599999999999</v>
      </c>
      <c r="F46" s="173">
        <f>E46*1.15</f>
        <v>1047.6039999999998</v>
      </c>
      <c r="G46" s="173">
        <f t="shared" si="3"/>
        <v>8501.9</v>
      </c>
      <c r="H46" s="173">
        <f>F46*1.2</f>
        <v>1257.1247999999998</v>
      </c>
      <c r="I46" s="173">
        <f t="shared" si="0"/>
        <v>9777.185</v>
      </c>
      <c r="J46" s="173">
        <f t="shared" si="4"/>
        <v>11732.622</v>
      </c>
      <c r="K46" s="75"/>
    </row>
    <row r="47" spans="1:11" ht="12.75">
      <c r="A47" s="49">
        <v>15</v>
      </c>
      <c r="B47" s="50" t="s">
        <v>186</v>
      </c>
      <c r="C47" s="52">
        <v>588</v>
      </c>
      <c r="D47" s="52">
        <v>6800</v>
      </c>
      <c r="E47" s="173">
        <f>C47*1.18</f>
        <v>693.8399999999999</v>
      </c>
      <c r="F47" s="173">
        <f>E47*1.15</f>
        <v>797.9159999999998</v>
      </c>
      <c r="G47" s="173">
        <f t="shared" si="3"/>
        <v>8024</v>
      </c>
      <c r="H47" s="173">
        <f>F47*1.2</f>
        <v>957.4991999999997</v>
      </c>
      <c r="I47" s="173">
        <f t="shared" si="0"/>
        <v>9227.599999999999</v>
      </c>
      <c r="J47" s="173">
        <f t="shared" si="4"/>
        <v>11073.119999999997</v>
      </c>
      <c r="K47" s="75"/>
    </row>
    <row r="48" spans="1:11" ht="12.75">
      <c r="A48" s="49">
        <v>16</v>
      </c>
      <c r="B48" s="50" t="s">
        <v>187</v>
      </c>
      <c r="C48" s="96" t="s">
        <v>15</v>
      </c>
      <c r="D48" s="52">
        <v>425</v>
      </c>
      <c r="E48" s="173"/>
      <c r="F48" s="173"/>
      <c r="G48" s="173">
        <f t="shared" si="3"/>
        <v>501.5</v>
      </c>
      <c r="H48" s="173"/>
      <c r="I48" s="173">
        <f t="shared" si="0"/>
        <v>576.7249999999999</v>
      </c>
      <c r="J48" s="173">
        <f t="shared" si="4"/>
        <v>692.0699999999998</v>
      </c>
      <c r="K48" s="75"/>
    </row>
    <row r="49" spans="1:11" ht="12.75">
      <c r="A49" s="49">
        <v>17</v>
      </c>
      <c r="B49" s="50" t="s">
        <v>188</v>
      </c>
      <c r="C49" s="96" t="s">
        <v>15</v>
      </c>
      <c r="D49" s="52">
        <v>496</v>
      </c>
      <c r="E49" s="173"/>
      <c r="F49" s="173"/>
      <c r="G49" s="173">
        <f t="shared" si="3"/>
        <v>585.28</v>
      </c>
      <c r="H49" s="173"/>
      <c r="I49" s="173">
        <f t="shared" si="0"/>
        <v>673.0719999999999</v>
      </c>
      <c r="J49" s="173">
        <f t="shared" si="4"/>
        <v>807.6863999999998</v>
      </c>
      <c r="K49" s="75"/>
    </row>
    <row r="50" spans="1:11" ht="12.75">
      <c r="A50" s="49">
        <v>18</v>
      </c>
      <c r="B50" s="50" t="s">
        <v>189</v>
      </c>
      <c r="C50" s="96" t="s">
        <v>15</v>
      </c>
      <c r="D50" s="52">
        <v>637</v>
      </c>
      <c r="E50" s="173"/>
      <c r="F50" s="173"/>
      <c r="G50" s="173">
        <f t="shared" si="3"/>
        <v>751.66</v>
      </c>
      <c r="H50" s="173"/>
      <c r="I50" s="173">
        <f t="shared" si="0"/>
        <v>864.4089999999999</v>
      </c>
      <c r="J50" s="173">
        <f t="shared" si="4"/>
        <v>1037.2907999999998</v>
      </c>
      <c r="K50" s="75"/>
    </row>
    <row r="51" spans="1:11" ht="12.75">
      <c r="A51" s="49">
        <v>19</v>
      </c>
      <c r="B51" s="50" t="s">
        <v>190</v>
      </c>
      <c r="C51" s="96" t="s">
        <v>15</v>
      </c>
      <c r="D51" s="52">
        <v>850</v>
      </c>
      <c r="E51" s="173"/>
      <c r="F51" s="173"/>
      <c r="G51" s="173">
        <f t="shared" si="3"/>
        <v>1003</v>
      </c>
      <c r="H51" s="173"/>
      <c r="I51" s="173">
        <f t="shared" si="0"/>
        <v>1153.4499999999998</v>
      </c>
      <c r="J51" s="173">
        <f t="shared" si="4"/>
        <v>1384.1399999999996</v>
      </c>
      <c r="K51" s="75"/>
    </row>
    <row r="52" spans="1:11" ht="12.75">
      <c r="A52" s="49">
        <v>20</v>
      </c>
      <c r="B52" s="50" t="s">
        <v>191</v>
      </c>
      <c r="C52" s="96" t="s">
        <v>15</v>
      </c>
      <c r="D52" s="52">
        <v>850</v>
      </c>
      <c r="E52" s="173"/>
      <c r="F52" s="173"/>
      <c r="G52" s="173">
        <f t="shared" si="3"/>
        <v>1003</v>
      </c>
      <c r="H52" s="173"/>
      <c r="I52" s="173">
        <f t="shared" si="0"/>
        <v>1153.4499999999998</v>
      </c>
      <c r="J52" s="173">
        <f t="shared" si="4"/>
        <v>1384.1399999999996</v>
      </c>
      <c r="K52" s="75"/>
    </row>
    <row r="53" spans="1:11" ht="12.75">
      <c r="A53" s="49">
        <v>21</v>
      </c>
      <c r="B53" s="50" t="s">
        <v>192</v>
      </c>
      <c r="C53" s="96" t="s">
        <v>15</v>
      </c>
      <c r="D53" s="52">
        <v>1133</v>
      </c>
      <c r="E53" s="173"/>
      <c r="F53" s="173"/>
      <c r="G53" s="173">
        <f t="shared" si="3"/>
        <v>1336.9399999999998</v>
      </c>
      <c r="H53" s="173"/>
      <c r="I53" s="173">
        <f t="shared" si="0"/>
        <v>1537.4809999999998</v>
      </c>
      <c r="J53" s="173">
        <f t="shared" si="4"/>
        <v>1844.9771999999996</v>
      </c>
      <c r="K53" s="75"/>
    </row>
    <row r="54" spans="1:11" ht="12.75">
      <c r="A54" s="49">
        <v>22</v>
      </c>
      <c r="B54" s="50" t="s">
        <v>193</v>
      </c>
      <c r="C54" s="96" t="s">
        <v>15</v>
      </c>
      <c r="D54" s="52">
        <v>1416</v>
      </c>
      <c r="E54" s="173"/>
      <c r="F54" s="173"/>
      <c r="G54" s="173">
        <f t="shared" si="3"/>
        <v>1670.8799999999999</v>
      </c>
      <c r="H54" s="173"/>
      <c r="I54" s="173">
        <f t="shared" si="0"/>
        <v>1921.5119999999997</v>
      </c>
      <c r="J54" s="173">
        <f t="shared" si="4"/>
        <v>2305.8143999999998</v>
      </c>
      <c r="K54" s="75"/>
    </row>
    <row r="55" spans="1:11" ht="12.75">
      <c r="A55" s="280" t="s">
        <v>46</v>
      </c>
      <c r="B55" s="280"/>
      <c r="C55" s="56"/>
      <c r="D55" s="53"/>
      <c r="E55" s="48"/>
      <c r="F55" s="48"/>
      <c r="G55" s="48"/>
      <c r="H55" s="48"/>
      <c r="I55" s="48"/>
      <c r="J55" s="48"/>
      <c r="K55" s="48"/>
    </row>
    <row r="56" spans="1:11" ht="12.75">
      <c r="A56" s="281"/>
      <c r="B56" s="281"/>
      <c r="C56" s="57"/>
      <c r="D56" s="53"/>
      <c r="E56" s="48"/>
      <c r="F56" s="48"/>
      <c r="G56" s="48"/>
      <c r="H56" s="48"/>
      <c r="I56" s="48"/>
      <c r="J56" s="48"/>
      <c r="K56" s="48"/>
    </row>
    <row r="57" spans="1:11" ht="12.75">
      <c r="A57" s="277" t="s">
        <v>194</v>
      </c>
      <c r="B57" s="277"/>
      <c r="C57" s="277"/>
      <c r="D57" s="277"/>
      <c r="E57" s="274"/>
      <c r="F57" s="274"/>
      <c r="G57" s="274"/>
      <c r="H57" s="274"/>
      <c r="I57" s="274"/>
      <c r="J57" s="274"/>
      <c r="K57" s="257"/>
    </row>
    <row r="58" spans="1:11" ht="12.75">
      <c r="A58" s="277"/>
      <c r="B58" s="277"/>
      <c r="C58" s="277"/>
      <c r="D58" s="277"/>
      <c r="E58" s="274"/>
      <c r="F58" s="274"/>
      <c r="G58" s="274"/>
      <c r="H58" s="274"/>
      <c r="I58" s="274"/>
      <c r="J58" s="274"/>
      <c r="K58" s="257"/>
    </row>
    <row r="59" spans="1:15" ht="19.5" customHeight="1">
      <c r="A59" s="284" t="s">
        <v>267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</row>
    <row r="60" spans="1:11" ht="12.75">
      <c r="A60" s="57"/>
      <c r="B60" s="43"/>
      <c r="C60" s="43"/>
      <c r="D60" s="53"/>
      <c r="E60" s="48"/>
      <c r="F60" s="48"/>
      <c r="G60" s="48"/>
      <c r="H60" s="48"/>
      <c r="I60" s="48"/>
      <c r="J60" s="48"/>
      <c r="K60" s="48"/>
    </row>
    <row r="61" spans="1:12" ht="12.75">
      <c r="A61" s="168"/>
      <c r="B61" s="82" t="s">
        <v>74</v>
      </c>
      <c r="C61" s="82"/>
      <c r="D61" s="82"/>
      <c r="E61" s="97" t="s">
        <v>248</v>
      </c>
      <c r="F61" s="298" t="s">
        <v>257</v>
      </c>
      <c r="G61" s="298"/>
      <c r="H61" s="298"/>
      <c r="I61" s="298"/>
      <c r="J61" s="298"/>
      <c r="K61" s="298"/>
      <c r="L61" s="298"/>
    </row>
    <row r="62" spans="1:11" ht="12.75">
      <c r="A62" s="57"/>
      <c r="B62" s="83"/>
      <c r="C62" s="43"/>
      <c r="D62" s="84"/>
      <c r="E62" s="48"/>
      <c r="F62" s="48"/>
      <c r="G62" s="48"/>
      <c r="H62" s="48"/>
      <c r="I62" s="48"/>
      <c r="J62" s="48"/>
      <c r="K62" s="48"/>
    </row>
  </sheetData>
  <sheetProtection/>
  <mergeCells count="33">
    <mergeCell ref="H3:K3"/>
    <mergeCell ref="A2:G2"/>
    <mergeCell ref="E7:G7"/>
    <mergeCell ref="H15:J15"/>
    <mergeCell ref="H5:M5"/>
    <mergeCell ref="H6:M6"/>
    <mergeCell ref="A14:B14"/>
    <mergeCell ref="A8:G8"/>
    <mergeCell ref="A9:G9"/>
    <mergeCell ref="A10:G10"/>
    <mergeCell ref="F61:L61"/>
    <mergeCell ref="A59:O59"/>
    <mergeCell ref="E15:G15"/>
    <mergeCell ref="K15:K16"/>
    <mergeCell ref="A55:B55"/>
    <mergeCell ref="A56:B56"/>
    <mergeCell ref="A15:A16"/>
    <mergeCell ref="A57:K58"/>
    <mergeCell ref="B36:C36"/>
    <mergeCell ref="B15:B16"/>
    <mergeCell ref="A11:G11"/>
    <mergeCell ref="B38:C38"/>
    <mergeCell ref="B29:C29"/>
    <mergeCell ref="B30:C30"/>
    <mergeCell ref="B31:C31"/>
    <mergeCell ref="B32:C32"/>
    <mergeCell ref="B37:C37"/>
    <mergeCell ref="B41:C41"/>
    <mergeCell ref="B42:C42"/>
    <mergeCell ref="B43:C43"/>
    <mergeCell ref="B44:C44"/>
    <mergeCell ref="C15:D15"/>
    <mergeCell ref="B35:C35"/>
  </mergeCells>
  <printOptions/>
  <pageMargins left="0.984251968503937" right="0.1968503937007874" top="0.5118110236220472" bottom="0.984251968503937" header="0.472440944881889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B44">
      <selection activeCell="G4" sqref="G4"/>
    </sheetView>
  </sheetViews>
  <sheetFormatPr defaultColWidth="9.140625" defaultRowHeight="12.75"/>
  <cols>
    <col min="1" max="1" width="0" style="0" hidden="1" customWidth="1"/>
    <col min="2" max="2" width="6.00390625" style="0" customWidth="1"/>
    <col min="3" max="3" width="34.00390625" style="0" customWidth="1"/>
    <col min="4" max="4" width="9.140625" style="0" hidden="1" customWidth="1"/>
    <col min="5" max="5" width="0.13671875" style="0" hidden="1" customWidth="1"/>
    <col min="6" max="6" width="16.00390625" style="0" hidden="1" customWidth="1"/>
    <col min="7" max="7" width="16.00390625" style="0" customWidth="1"/>
    <col min="8" max="8" width="12.57421875" style="0" customWidth="1"/>
    <col min="9" max="10" width="0" style="0" hidden="1" customWidth="1"/>
    <col min="11" max="11" width="0.13671875" style="0" customWidth="1"/>
    <col min="12" max="12" width="0.2890625" style="0" hidden="1" customWidth="1"/>
    <col min="13" max="13" width="12.57421875" style="0" customWidth="1"/>
  </cols>
  <sheetData>
    <row r="1" spans="1:13" ht="12.75">
      <c r="A1" s="98"/>
      <c r="B1" s="98"/>
      <c r="C1" s="99"/>
      <c r="D1" s="137"/>
      <c r="E1" s="275" t="s">
        <v>0</v>
      </c>
      <c r="F1" s="275"/>
      <c r="G1" s="275"/>
      <c r="H1" s="306"/>
      <c r="I1" s="138" t="s">
        <v>75</v>
      </c>
      <c r="J1" s="99"/>
      <c r="K1" s="99"/>
      <c r="L1" s="99"/>
      <c r="M1" s="99"/>
    </row>
    <row r="2" spans="1:13" ht="12.75">
      <c r="A2" s="98"/>
      <c r="B2" s="98"/>
      <c r="C2" s="99"/>
      <c r="D2" s="137"/>
      <c r="E2" s="275" t="s">
        <v>241</v>
      </c>
      <c r="F2" s="275"/>
      <c r="G2" s="275"/>
      <c r="H2" s="306"/>
      <c r="I2" s="41"/>
      <c r="J2" s="41"/>
      <c r="K2" s="41"/>
      <c r="L2" s="41"/>
      <c r="M2" s="41"/>
    </row>
    <row r="3" spans="1:13" ht="15.75" customHeight="1">
      <c r="A3" s="98"/>
      <c r="B3" s="98"/>
      <c r="C3" s="99"/>
      <c r="D3" s="137"/>
      <c r="E3" s="196" t="s">
        <v>242</v>
      </c>
      <c r="F3" s="196"/>
      <c r="G3" s="196" t="s">
        <v>272</v>
      </c>
      <c r="H3" s="196"/>
      <c r="I3" s="138" t="s">
        <v>50</v>
      </c>
      <c r="J3" s="99"/>
      <c r="K3" s="99"/>
      <c r="L3" s="99"/>
      <c r="M3" s="99"/>
    </row>
    <row r="4" spans="1:13" ht="15.75" customHeight="1">
      <c r="A4" s="98"/>
      <c r="B4" s="98"/>
      <c r="C4" s="99"/>
      <c r="D4" s="137"/>
      <c r="E4" s="45"/>
      <c r="F4" s="45"/>
      <c r="G4" s="40" t="s">
        <v>254</v>
      </c>
      <c r="I4" s="138" t="s">
        <v>236</v>
      </c>
      <c r="J4" s="99"/>
      <c r="K4" s="99"/>
      <c r="L4" s="99"/>
      <c r="M4" s="99"/>
    </row>
    <row r="5" spans="1:13" ht="15" customHeight="1">
      <c r="A5" s="98"/>
      <c r="B5" s="98"/>
      <c r="C5" s="99"/>
      <c r="D5" s="137"/>
      <c r="E5" s="45"/>
      <c r="F5" s="45"/>
      <c r="G5" s="45"/>
      <c r="H5" s="45" t="s">
        <v>318</v>
      </c>
      <c r="I5" s="138" t="s">
        <v>237</v>
      </c>
      <c r="J5" s="99"/>
      <c r="K5" s="99"/>
      <c r="L5" s="99"/>
      <c r="M5" s="99"/>
    </row>
    <row r="6" spans="1:13" ht="6" customHeight="1">
      <c r="A6" s="98"/>
      <c r="B6" s="98"/>
      <c r="C6" s="99"/>
      <c r="D6" s="99"/>
      <c r="E6" s="312"/>
      <c r="F6" s="312"/>
      <c r="G6" s="312"/>
      <c r="H6" s="313"/>
      <c r="I6" s="99"/>
      <c r="J6" s="99"/>
      <c r="K6" s="99"/>
      <c r="L6" s="99"/>
      <c r="M6" s="99"/>
    </row>
    <row r="7" spans="1:13" ht="12.75" hidden="1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5.75" customHeight="1">
      <c r="A8" s="314" t="s">
        <v>2</v>
      </c>
      <c r="B8" s="314"/>
      <c r="C8" s="314"/>
      <c r="D8" s="314"/>
      <c r="E8" s="314"/>
      <c r="F8" s="314"/>
      <c r="G8" s="314"/>
      <c r="H8" s="314"/>
      <c r="I8" s="314"/>
      <c r="J8" s="314"/>
      <c r="K8" s="181"/>
      <c r="L8" s="181"/>
      <c r="M8" s="181"/>
    </row>
    <row r="9" spans="1:13" ht="15.75" customHeight="1">
      <c r="A9" s="314" t="s">
        <v>195</v>
      </c>
      <c r="B9" s="314"/>
      <c r="C9" s="314"/>
      <c r="D9" s="314"/>
      <c r="E9" s="314"/>
      <c r="F9" s="314"/>
      <c r="G9" s="314"/>
      <c r="H9" s="314"/>
      <c r="I9" s="314"/>
      <c r="J9" s="314"/>
      <c r="K9" s="181"/>
      <c r="L9" s="181"/>
      <c r="M9" s="181"/>
    </row>
    <row r="10" spans="1:13" ht="15" customHeight="1">
      <c r="A10" s="315" t="s">
        <v>311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182"/>
      <c r="L10" s="182"/>
      <c r="M10" s="182"/>
    </row>
    <row r="11" spans="1:13" ht="9.75" customHeight="1" thickBot="1">
      <c r="A11" s="316"/>
      <c r="B11" s="316"/>
      <c r="C11" s="316"/>
      <c r="D11" s="100"/>
      <c r="E11" s="101">
        <v>1.18</v>
      </c>
      <c r="F11" s="101"/>
      <c r="G11" s="101"/>
      <c r="H11" s="100"/>
      <c r="I11" s="100"/>
      <c r="J11" s="100"/>
      <c r="K11" s="100"/>
      <c r="L11" s="100"/>
      <c r="M11" s="100"/>
    </row>
    <row r="12" spans="1:13" ht="48" customHeight="1">
      <c r="A12" s="102" t="s">
        <v>5</v>
      </c>
      <c r="B12" s="103" t="s">
        <v>5</v>
      </c>
      <c r="C12" s="104" t="s">
        <v>196</v>
      </c>
      <c r="D12" s="102" t="s">
        <v>197</v>
      </c>
      <c r="E12" s="102" t="s">
        <v>255</v>
      </c>
      <c r="F12" s="102" t="s">
        <v>255</v>
      </c>
      <c r="G12" s="102" t="s">
        <v>255</v>
      </c>
      <c r="H12" s="102" t="s">
        <v>10</v>
      </c>
      <c r="I12" s="317"/>
      <c r="J12" s="318"/>
      <c r="K12" s="103" t="s">
        <v>255</v>
      </c>
      <c r="M12" s="103" t="s">
        <v>255</v>
      </c>
    </row>
    <row r="13" spans="1:13" ht="12.75">
      <c r="A13" s="105"/>
      <c r="B13" s="106"/>
      <c r="C13" s="107" t="s">
        <v>198</v>
      </c>
      <c r="D13" s="108"/>
      <c r="E13" s="109"/>
      <c r="F13" s="109"/>
      <c r="G13" s="109"/>
      <c r="H13" s="110"/>
      <c r="I13" s="111">
        <f>ROUND(3000*1.18,0)</f>
        <v>3540</v>
      </c>
      <c r="J13" s="112"/>
      <c r="K13" s="112"/>
      <c r="L13" s="120"/>
      <c r="M13" s="120"/>
    </row>
    <row r="14" spans="1:13" ht="12.75">
      <c r="A14" s="105">
        <v>1</v>
      </c>
      <c r="B14" s="106">
        <v>1</v>
      </c>
      <c r="C14" s="113" t="s">
        <v>199</v>
      </c>
      <c r="D14" s="114">
        <v>22066</v>
      </c>
      <c r="E14" s="174">
        <v>26038</v>
      </c>
      <c r="F14" s="174">
        <f aca="true" t="shared" si="0" ref="F14:F51">E14*1.15</f>
        <v>29943.699999999997</v>
      </c>
      <c r="G14" s="174">
        <f>F14*1.2</f>
        <v>35932.439999999995</v>
      </c>
      <c r="H14" s="112" t="s">
        <v>15</v>
      </c>
      <c r="I14" s="115">
        <f>ROUND(500*1.18,0)</f>
        <v>590</v>
      </c>
      <c r="J14" s="112">
        <f>ROUND(6300*1.18,0)</f>
        <v>7434</v>
      </c>
      <c r="K14" s="112"/>
      <c r="L14" s="174"/>
      <c r="M14" s="174"/>
    </row>
    <row r="15" spans="1:13" ht="12.75">
      <c r="A15" s="105">
        <v>2</v>
      </c>
      <c r="B15" s="106">
        <v>2</v>
      </c>
      <c r="C15" s="113" t="s">
        <v>200</v>
      </c>
      <c r="D15" s="114">
        <v>22066</v>
      </c>
      <c r="E15" s="174">
        <v>26038</v>
      </c>
      <c r="F15" s="174">
        <f t="shared" si="0"/>
        <v>29943.699999999997</v>
      </c>
      <c r="G15" s="174">
        <f aca="true" t="shared" si="1" ref="G15:G51">F15*1.2</f>
        <v>35932.439999999995</v>
      </c>
      <c r="H15" s="112" t="s">
        <v>15</v>
      </c>
      <c r="I15" s="115">
        <f>ROUND(500*1.18,0)</f>
        <v>590</v>
      </c>
      <c r="J15" s="112">
        <f>ROUND(7100*1.18,0)</f>
        <v>8378</v>
      </c>
      <c r="K15" s="112"/>
      <c r="L15" s="174"/>
      <c r="M15" s="174"/>
    </row>
    <row r="16" spans="1:13" ht="12.75">
      <c r="A16" s="105">
        <v>3</v>
      </c>
      <c r="B16" s="106">
        <v>3</v>
      </c>
      <c r="C16" s="113" t="s">
        <v>201</v>
      </c>
      <c r="D16" s="114">
        <v>24072</v>
      </c>
      <c r="E16" s="174">
        <v>28405</v>
      </c>
      <c r="F16" s="174">
        <f t="shared" si="0"/>
        <v>32665.749999999996</v>
      </c>
      <c r="G16" s="174">
        <f t="shared" si="1"/>
        <v>39198.899999999994</v>
      </c>
      <c r="H16" s="112" t="s">
        <v>15</v>
      </c>
      <c r="I16" s="115">
        <f>ROUND(600*1.18,0)</f>
        <v>708</v>
      </c>
      <c r="J16" s="112">
        <f>ROUND(4500*1.18,0)</f>
        <v>5310</v>
      </c>
      <c r="K16" s="112"/>
      <c r="L16" s="174"/>
      <c r="M16" s="174"/>
    </row>
    <row r="17" spans="1:13" ht="12.75">
      <c r="A17" s="105">
        <v>4</v>
      </c>
      <c r="B17" s="106">
        <v>4</v>
      </c>
      <c r="C17" s="113" t="s">
        <v>202</v>
      </c>
      <c r="D17" s="114">
        <v>28084</v>
      </c>
      <c r="E17" s="174">
        <v>33129</v>
      </c>
      <c r="F17" s="174">
        <f t="shared" si="0"/>
        <v>38098.35</v>
      </c>
      <c r="G17" s="174">
        <f t="shared" si="1"/>
        <v>45718.02</v>
      </c>
      <c r="H17" s="112" t="s">
        <v>15</v>
      </c>
      <c r="I17" s="115">
        <f>ROUND(400*1.18,0)</f>
        <v>472</v>
      </c>
      <c r="J17" s="112">
        <f>ROUND(2900*1.18,0)</f>
        <v>3422</v>
      </c>
      <c r="K17" s="112"/>
      <c r="L17" s="174"/>
      <c r="M17" s="174"/>
    </row>
    <row r="18" spans="1:13" ht="12.75">
      <c r="A18" s="105">
        <v>5</v>
      </c>
      <c r="B18" s="106">
        <v>5</v>
      </c>
      <c r="C18" s="113" t="s">
        <v>203</v>
      </c>
      <c r="D18" s="114">
        <v>34102</v>
      </c>
      <c r="E18" s="174">
        <v>40240</v>
      </c>
      <c r="F18" s="174">
        <f t="shared" si="0"/>
        <v>46276</v>
      </c>
      <c r="G18" s="174">
        <f t="shared" si="1"/>
        <v>55531.2</v>
      </c>
      <c r="H18" s="112" t="s">
        <v>15</v>
      </c>
      <c r="I18" s="115">
        <f>ROUND(600*1.18,0)</f>
        <v>708</v>
      </c>
      <c r="J18" s="112">
        <f>ROUND(6500*1.18,0)</f>
        <v>7670</v>
      </c>
      <c r="K18" s="112"/>
      <c r="L18" s="174"/>
      <c r="M18" s="174"/>
    </row>
    <row r="19" spans="1:13" ht="12.75">
      <c r="A19" s="105">
        <v>6</v>
      </c>
      <c r="B19" s="106">
        <v>6</v>
      </c>
      <c r="C19" s="113" t="s">
        <v>204</v>
      </c>
      <c r="D19" s="114">
        <v>36108</v>
      </c>
      <c r="E19" s="174">
        <v>42607</v>
      </c>
      <c r="F19" s="174">
        <f t="shared" si="0"/>
        <v>48998.049999999996</v>
      </c>
      <c r="G19" s="174">
        <f t="shared" si="1"/>
        <v>58797.659999999996</v>
      </c>
      <c r="H19" s="112" t="s">
        <v>15</v>
      </c>
      <c r="I19" s="115">
        <f>ROUND(50*1.18,0)</f>
        <v>59</v>
      </c>
      <c r="J19" s="112">
        <f>ROUND(200*1.18,0)</f>
        <v>236</v>
      </c>
      <c r="K19" s="112"/>
      <c r="L19" s="174"/>
      <c r="M19" s="174"/>
    </row>
    <row r="20" spans="1:13" ht="12.75">
      <c r="A20" s="105">
        <v>7</v>
      </c>
      <c r="B20" s="106">
        <v>7</v>
      </c>
      <c r="C20" s="113" t="s">
        <v>205</v>
      </c>
      <c r="D20" s="114">
        <v>36108</v>
      </c>
      <c r="E20" s="174">
        <v>42607</v>
      </c>
      <c r="F20" s="174">
        <f t="shared" si="0"/>
        <v>48998.049999999996</v>
      </c>
      <c r="G20" s="174">
        <f t="shared" si="1"/>
        <v>58797.659999999996</v>
      </c>
      <c r="H20" s="112" t="s">
        <v>15</v>
      </c>
      <c r="I20" s="115">
        <f>ROUND(500*1.18,0)</f>
        <v>590</v>
      </c>
      <c r="J20" s="112">
        <f>ROUND(7500*1.18,0)</f>
        <v>8850</v>
      </c>
      <c r="K20" s="112"/>
      <c r="L20" s="174"/>
      <c r="M20" s="174"/>
    </row>
    <row r="21" spans="1:13" ht="12.75">
      <c r="A21" s="116"/>
      <c r="B21" s="107">
        <v>8</v>
      </c>
      <c r="C21" s="113" t="s">
        <v>206</v>
      </c>
      <c r="D21" s="114">
        <v>44132</v>
      </c>
      <c r="E21" s="174">
        <v>52076</v>
      </c>
      <c r="F21" s="174">
        <f t="shared" si="0"/>
        <v>59887.399999999994</v>
      </c>
      <c r="G21" s="174">
        <f t="shared" si="1"/>
        <v>71864.87999999999</v>
      </c>
      <c r="H21" s="117" t="s">
        <v>15</v>
      </c>
      <c r="I21" s="111"/>
      <c r="J21" s="118"/>
      <c r="K21" s="118"/>
      <c r="L21" s="174"/>
      <c r="M21" s="174"/>
    </row>
    <row r="22" spans="1:13" ht="12.75">
      <c r="A22" s="105">
        <v>8</v>
      </c>
      <c r="B22" s="106">
        <v>9</v>
      </c>
      <c r="C22" s="113" t="s">
        <v>207</v>
      </c>
      <c r="D22" s="114">
        <v>20060</v>
      </c>
      <c r="E22" s="174">
        <v>23671</v>
      </c>
      <c r="F22" s="174">
        <f t="shared" si="0"/>
        <v>27221.649999999998</v>
      </c>
      <c r="G22" s="174">
        <f t="shared" si="1"/>
        <v>32665.979999999996</v>
      </c>
      <c r="H22" s="119" t="s">
        <v>15</v>
      </c>
      <c r="I22" s="115">
        <f aca="true" t="shared" si="2" ref="I22:I34">ROUND(500*1.18,0)</f>
        <v>590</v>
      </c>
      <c r="J22" s="112">
        <f>ROUND(3600*1.18,0)</f>
        <v>4248</v>
      </c>
      <c r="K22" s="112"/>
      <c r="L22" s="174"/>
      <c r="M22" s="174"/>
    </row>
    <row r="23" spans="1:13" ht="12.75">
      <c r="A23" s="105">
        <v>9</v>
      </c>
      <c r="B23" s="106">
        <v>10</v>
      </c>
      <c r="C23" s="113" t="s">
        <v>208</v>
      </c>
      <c r="D23" s="114">
        <v>18054</v>
      </c>
      <c r="E23" s="174">
        <v>21304</v>
      </c>
      <c r="F23" s="174">
        <f t="shared" si="0"/>
        <v>24499.6</v>
      </c>
      <c r="G23" s="174">
        <f t="shared" si="1"/>
        <v>29399.519999999997</v>
      </c>
      <c r="H23" s="119" t="s">
        <v>15</v>
      </c>
      <c r="I23" s="115">
        <f t="shared" si="2"/>
        <v>590</v>
      </c>
      <c r="J23" s="112">
        <f>ROUND(3950*1.18,0)</f>
        <v>4661</v>
      </c>
      <c r="K23" s="112"/>
      <c r="L23" s="174"/>
      <c r="M23" s="174"/>
    </row>
    <row r="24" spans="1:13" ht="12.75">
      <c r="A24" s="105">
        <v>10</v>
      </c>
      <c r="B24" s="106">
        <v>12</v>
      </c>
      <c r="C24" s="113" t="s">
        <v>209</v>
      </c>
      <c r="D24" s="120">
        <v>9986</v>
      </c>
      <c r="E24" s="174">
        <f>D24*1.18</f>
        <v>11783.48</v>
      </c>
      <c r="F24" s="174">
        <f t="shared" si="0"/>
        <v>13551.001999999999</v>
      </c>
      <c r="G24" s="174">
        <f t="shared" si="1"/>
        <v>16261.202399999998</v>
      </c>
      <c r="H24" s="119" t="s">
        <v>15</v>
      </c>
      <c r="I24" s="115">
        <f t="shared" si="2"/>
        <v>590</v>
      </c>
      <c r="J24" s="112">
        <f>ROUND(4590*1.18,0)</f>
        <v>5416</v>
      </c>
      <c r="K24" s="112"/>
      <c r="L24" s="174"/>
      <c r="M24" s="174"/>
    </row>
    <row r="25" spans="1:13" ht="12.75">
      <c r="A25" s="105">
        <v>11</v>
      </c>
      <c r="B25" s="106">
        <v>13</v>
      </c>
      <c r="C25" s="113" t="s">
        <v>210</v>
      </c>
      <c r="D25" s="120">
        <v>13430</v>
      </c>
      <c r="E25" s="174">
        <f>D25*1.18</f>
        <v>15847.4</v>
      </c>
      <c r="F25" s="174">
        <f t="shared" si="0"/>
        <v>18224.51</v>
      </c>
      <c r="G25" s="174">
        <f t="shared" si="1"/>
        <v>21869.411999999997</v>
      </c>
      <c r="H25" s="119" t="s">
        <v>15</v>
      </c>
      <c r="I25" s="115">
        <f t="shared" si="2"/>
        <v>590</v>
      </c>
      <c r="J25" s="112">
        <f>ROUND(6120*1.18,0)</f>
        <v>7222</v>
      </c>
      <c r="K25" s="112"/>
      <c r="L25" s="174"/>
      <c r="M25" s="174"/>
    </row>
    <row r="26" spans="1:13" ht="12.75">
      <c r="A26" s="105">
        <v>12</v>
      </c>
      <c r="B26" s="106"/>
      <c r="C26" s="121" t="s">
        <v>211</v>
      </c>
      <c r="D26" s="120"/>
      <c r="E26" s="174"/>
      <c r="F26" s="174">
        <f t="shared" si="0"/>
        <v>0</v>
      </c>
      <c r="G26" s="174"/>
      <c r="H26" s="119"/>
      <c r="I26" s="115">
        <f t="shared" si="2"/>
        <v>590</v>
      </c>
      <c r="J26" s="112">
        <f>ROUND(5970*1.18,0)</f>
        <v>7045</v>
      </c>
      <c r="K26" s="112"/>
      <c r="L26" s="174"/>
      <c r="M26" s="174"/>
    </row>
    <row r="27" spans="1:13" ht="12.75">
      <c r="A27" s="105">
        <v>13</v>
      </c>
      <c r="B27" s="106">
        <v>14</v>
      </c>
      <c r="C27" s="113" t="s">
        <v>212</v>
      </c>
      <c r="D27" s="120">
        <v>10022</v>
      </c>
      <c r="E27" s="174">
        <f aca="true" t="shared" si="3" ref="E27:E33">D27*1.18</f>
        <v>11825.96</v>
      </c>
      <c r="F27" s="174">
        <f t="shared" si="0"/>
        <v>13599.853999999998</v>
      </c>
      <c r="G27" s="174">
        <f t="shared" si="1"/>
        <v>16319.824799999997</v>
      </c>
      <c r="H27" s="122">
        <v>0.1</v>
      </c>
      <c r="I27" s="115">
        <f t="shared" si="2"/>
        <v>590</v>
      </c>
      <c r="J27" s="112">
        <f>ROUND(6590*1.18,0)</f>
        <v>7776</v>
      </c>
      <c r="K27" s="112">
        <v>14960</v>
      </c>
      <c r="L27" s="174">
        <f aca="true" t="shared" si="4" ref="L27:L33">F27*1.1</f>
        <v>14959.839399999999</v>
      </c>
      <c r="M27" s="174"/>
    </row>
    <row r="28" spans="1:13" ht="12.75">
      <c r="A28" s="105">
        <v>14</v>
      </c>
      <c r="B28" s="106">
        <v>15</v>
      </c>
      <c r="C28" s="113" t="s">
        <v>213</v>
      </c>
      <c r="D28" s="120">
        <v>10676</v>
      </c>
      <c r="E28" s="174">
        <f t="shared" si="3"/>
        <v>12597.679999999998</v>
      </c>
      <c r="F28" s="174">
        <f t="shared" si="0"/>
        <v>14487.331999999997</v>
      </c>
      <c r="G28" s="174">
        <f t="shared" si="1"/>
        <v>17384.798399999996</v>
      </c>
      <c r="H28" s="122">
        <v>0.1</v>
      </c>
      <c r="I28" s="115">
        <f t="shared" si="2"/>
        <v>590</v>
      </c>
      <c r="J28" s="112">
        <f>ROUND(6940*1.18,0)</f>
        <v>8189</v>
      </c>
      <c r="K28" s="112">
        <v>15936</v>
      </c>
      <c r="L28" s="174">
        <f t="shared" si="4"/>
        <v>15936.065199999997</v>
      </c>
      <c r="M28" s="174"/>
    </row>
    <row r="29" spans="1:13" ht="12.75">
      <c r="A29" s="105">
        <v>15</v>
      </c>
      <c r="B29" s="106">
        <v>16</v>
      </c>
      <c r="C29" s="113" t="s">
        <v>202</v>
      </c>
      <c r="D29" s="120">
        <v>14394</v>
      </c>
      <c r="E29" s="174">
        <f t="shared" si="3"/>
        <v>16984.92</v>
      </c>
      <c r="F29" s="174">
        <f t="shared" si="0"/>
        <v>19532.657999999996</v>
      </c>
      <c r="G29" s="174">
        <f t="shared" si="1"/>
        <v>23439.189599999994</v>
      </c>
      <c r="H29" s="122">
        <v>0.1</v>
      </c>
      <c r="I29" s="115">
        <f t="shared" si="2"/>
        <v>590</v>
      </c>
      <c r="J29" s="112">
        <f>ROUND(7800*1.18,0)</f>
        <v>9204</v>
      </c>
      <c r="K29" s="112">
        <v>21486</v>
      </c>
      <c r="L29" s="174">
        <f t="shared" si="4"/>
        <v>21485.923799999997</v>
      </c>
      <c r="M29" s="174"/>
    </row>
    <row r="30" spans="1:13" ht="12.75">
      <c r="A30" s="105">
        <v>16</v>
      </c>
      <c r="B30" s="106">
        <v>17</v>
      </c>
      <c r="C30" s="113" t="s">
        <v>203</v>
      </c>
      <c r="D30" s="123">
        <v>16564</v>
      </c>
      <c r="E30" s="174">
        <f t="shared" si="3"/>
        <v>19545.52</v>
      </c>
      <c r="F30" s="174">
        <f t="shared" si="0"/>
        <v>22477.347999999998</v>
      </c>
      <c r="G30" s="174">
        <f t="shared" si="1"/>
        <v>26972.8176</v>
      </c>
      <c r="H30" s="122">
        <v>0.1</v>
      </c>
      <c r="I30" s="115">
        <f t="shared" si="2"/>
        <v>590</v>
      </c>
      <c r="J30" s="112">
        <f>ROUND(4200*1.18,0)</f>
        <v>4956</v>
      </c>
      <c r="K30" s="112">
        <v>24725</v>
      </c>
      <c r="L30" s="174">
        <f t="shared" si="4"/>
        <v>24725.0828</v>
      </c>
      <c r="M30" s="174"/>
    </row>
    <row r="31" spans="1:13" ht="12.75">
      <c r="A31" s="105">
        <v>17</v>
      </c>
      <c r="B31" s="106">
        <v>18</v>
      </c>
      <c r="C31" s="113" t="s">
        <v>204</v>
      </c>
      <c r="D31" s="123">
        <v>19902</v>
      </c>
      <c r="E31" s="174">
        <f t="shared" si="3"/>
        <v>23484.36</v>
      </c>
      <c r="F31" s="174">
        <f t="shared" si="0"/>
        <v>27007.014</v>
      </c>
      <c r="G31" s="174">
        <f t="shared" si="1"/>
        <v>32408.4168</v>
      </c>
      <c r="H31" s="122">
        <v>0.1</v>
      </c>
      <c r="I31" s="115">
        <f t="shared" si="2"/>
        <v>590</v>
      </c>
      <c r="J31" s="112">
        <f>ROUND(4380*1.18,0)</f>
        <v>5168</v>
      </c>
      <c r="K31" s="112">
        <v>29708</v>
      </c>
      <c r="L31" s="174">
        <f t="shared" si="4"/>
        <v>29707.7154</v>
      </c>
      <c r="M31" s="174"/>
    </row>
    <row r="32" spans="1:13" ht="12.75">
      <c r="A32" s="105">
        <v>18</v>
      </c>
      <c r="B32" s="106">
        <v>19</v>
      </c>
      <c r="C32" s="113" t="s">
        <v>205</v>
      </c>
      <c r="D32" s="123">
        <v>19902</v>
      </c>
      <c r="E32" s="174">
        <f t="shared" si="3"/>
        <v>23484.36</v>
      </c>
      <c r="F32" s="174">
        <f t="shared" si="0"/>
        <v>27007.014</v>
      </c>
      <c r="G32" s="174">
        <f t="shared" si="1"/>
        <v>32408.4168</v>
      </c>
      <c r="H32" s="122">
        <v>0.1</v>
      </c>
      <c r="I32" s="115">
        <f t="shared" si="2"/>
        <v>590</v>
      </c>
      <c r="J32" s="112">
        <f>ROUND(5100*1.18,0)</f>
        <v>6018</v>
      </c>
      <c r="K32" s="112">
        <v>29708</v>
      </c>
      <c r="L32" s="174">
        <f t="shared" si="4"/>
        <v>29707.7154</v>
      </c>
      <c r="M32" s="174"/>
    </row>
    <row r="33" spans="1:13" ht="12.75">
      <c r="A33" s="105">
        <v>19</v>
      </c>
      <c r="B33" s="106">
        <v>20</v>
      </c>
      <c r="C33" s="113" t="s">
        <v>206</v>
      </c>
      <c r="D33" s="120">
        <v>13020</v>
      </c>
      <c r="E33" s="174">
        <f t="shared" si="3"/>
        <v>15363.599999999999</v>
      </c>
      <c r="F33" s="174">
        <f t="shared" si="0"/>
        <v>17668.139999999996</v>
      </c>
      <c r="G33" s="174">
        <f t="shared" si="1"/>
        <v>21201.767999999993</v>
      </c>
      <c r="H33" s="122">
        <v>0.1</v>
      </c>
      <c r="I33" s="115">
        <f t="shared" si="2"/>
        <v>590</v>
      </c>
      <c r="J33" s="112">
        <f>ROUND(4950*1.18,0)</f>
        <v>5841</v>
      </c>
      <c r="K33" s="112">
        <v>19435</v>
      </c>
      <c r="L33" s="174">
        <f t="shared" si="4"/>
        <v>19434.953999999998</v>
      </c>
      <c r="M33" s="174"/>
    </row>
    <row r="34" spans="1:13" ht="12.75">
      <c r="A34" s="105">
        <v>20</v>
      </c>
      <c r="B34" s="106"/>
      <c r="C34" s="121" t="s">
        <v>214</v>
      </c>
      <c r="D34" s="120"/>
      <c r="E34" s="174"/>
      <c r="F34" s="174">
        <f t="shared" si="0"/>
        <v>0</v>
      </c>
      <c r="G34" s="174"/>
      <c r="H34" s="119"/>
      <c r="I34" s="115">
        <f t="shared" si="2"/>
        <v>590</v>
      </c>
      <c r="J34" s="112">
        <f>ROUND(5870*1.18,0)</f>
        <v>6927</v>
      </c>
      <c r="K34" s="112"/>
      <c r="L34" s="174"/>
      <c r="M34" s="174"/>
    </row>
    <row r="35" spans="1:13" ht="12.75">
      <c r="A35" s="105"/>
      <c r="B35" s="106">
        <v>21</v>
      </c>
      <c r="C35" s="113" t="s">
        <v>215</v>
      </c>
      <c r="D35" s="120">
        <v>6522</v>
      </c>
      <c r="E35" s="174">
        <f aca="true" t="shared" si="5" ref="E35:E41">D35*1.18</f>
        <v>7695.96</v>
      </c>
      <c r="F35" s="174">
        <f t="shared" si="0"/>
        <v>8850.354</v>
      </c>
      <c r="G35" s="174">
        <f t="shared" si="1"/>
        <v>10620.424799999999</v>
      </c>
      <c r="H35" s="119" t="s">
        <v>15</v>
      </c>
      <c r="I35" s="124"/>
      <c r="J35" s="125"/>
      <c r="K35" s="112"/>
      <c r="L35" s="174"/>
      <c r="M35" s="174"/>
    </row>
    <row r="36" spans="1:13" ht="12.75">
      <c r="A36" s="105"/>
      <c r="B36" s="106">
        <v>22</v>
      </c>
      <c r="C36" s="113" t="s">
        <v>200</v>
      </c>
      <c r="D36" s="120">
        <v>6910</v>
      </c>
      <c r="E36" s="174">
        <f t="shared" si="5"/>
        <v>8153.799999999999</v>
      </c>
      <c r="F36" s="174">
        <f t="shared" si="0"/>
        <v>9376.869999999999</v>
      </c>
      <c r="G36" s="174">
        <f t="shared" si="1"/>
        <v>11252.243999999999</v>
      </c>
      <c r="H36" s="119" t="s">
        <v>15</v>
      </c>
      <c r="I36" s="124"/>
      <c r="J36" s="125"/>
      <c r="K36" s="112"/>
      <c r="L36" s="174"/>
      <c r="M36" s="174"/>
    </row>
    <row r="37" spans="1:13" ht="12.75">
      <c r="A37" s="105"/>
      <c r="B37" s="106">
        <v>23</v>
      </c>
      <c r="C37" s="113" t="s">
        <v>203</v>
      </c>
      <c r="D37" s="123">
        <v>6137</v>
      </c>
      <c r="E37" s="174">
        <f t="shared" si="5"/>
        <v>7241.66</v>
      </c>
      <c r="F37" s="174">
        <f t="shared" si="0"/>
        <v>8327.909</v>
      </c>
      <c r="G37" s="174">
        <f t="shared" si="1"/>
        <v>9993.4908</v>
      </c>
      <c r="H37" s="119" t="s">
        <v>15</v>
      </c>
      <c r="I37" s="124"/>
      <c r="J37" s="125"/>
      <c r="K37" s="112"/>
      <c r="L37" s="174"/>
      <c r="M37" s="174"/>
    </row>
    <row r="38" spans="1:13" ht="12.75">
      <c r="A38" s="105"/>
      <c r="B38" s="106">
        <v>24</v>
      </c>
      <c r="C38" s="113" t="s">
        <v>204</v>
      </c>
      <c r="D38" s="123">
        <v>6910</v>
      </c>
      <c r="E38" s="174">
        <f t="shared" si="5"/>
        <v>8153.799999999999</v>
      </c>
      <c r="F38" s="174">
        <f t="shared" si="0"/>
        <v>9376.869999999999</v>
      </c>
      <c r="G38" s="174">
        <f t="shared" si="1"/>
        <v>11252.243999999999</v>
      </c>
      <c r="H38" s="119" t="s">
        <v>15</v>
      </c>
      <c r="I38" s="124"/>
      <c r="J38" s="125"/>
      <c r="K38" s="112"/>
      <c r="L38" s="174"/>
      <c r="M38" s="174"/>
    </row>
    <row r="39" spans="1:13" ht="12.75">
      <c r="A39" s="105"/>
      <c r="B39" s="106">
        <v>25</v>
      </c>
      <c r="C39" s="113" t="s">
        <v>207</v>
      </c>
      <c r="D39" s="123">
        <v>5717</v>
      </c>
      <c r="E39" s="174">
        <f t="shared" si="5"/>
        <v>6746.0599999999995</v>
      </c>
      <c r="F39" s="174">
        <f t="shared" si="0"/>
        <v>7757.968999999999</v>
      </c>
      <c r="G39" s="174">
        <f t="shared" si="1"/>
        <v>9309.562799999998</v>
      </c>
      <c r="H39" s="119" t="s">
        <v>15</v>
      </c>
      <c r="I39" s="124"/>
      <c r="J39" s="125"/>
      <c r="K39" s="112"/>
      <c r="L39" s="174"/>
      <c r="M39" s="174"/>
    </row>
    <row r="40" spans="1:13" ht="12.75">
      <c r="A40" s="105"/>
      <c r="B40" s="106">
        <v>26</v>
      </c>
      <c r="C40" s="113" t="s">
        <v>208</v>
      </c>
      <c r="D40" s="123">
        <v>5040</v>
      </c>
      <c r="E40" s="174">
        <f t="shared" si="5"/>
        <v>5947.2</v>
      </c>
      <c r="F40" s="174">
        <f t="shared" si="0"/>
        <v>6839.279999999999</v>
      </c>
      <c r="G40" s="174">
        <f t="shared" si="1"/>
        <v>8207.135999999999</v>
      </c>
      <c r="H40" s="119" t="s">
        <v>15</v>
      </c>
      <c r="I40" s="124"/>
      <c r="J40" s="125"/>
      <c r="K40" s="112"/>
      <c r="L40" s="174"/>
      <c r="M40" s="174"/>
    </row>
    <row r="41" spans="1:13" ht="12.75">
      <c r="A41" s="105"/>
      <c r="B41" s="106">
        <v>27</v>
      </c>
      <c r="C41" s="113" t="s">
        <v>216</v>
      </c>
      <c r="D41" s="123">
        <v>3332</v>
      </c>
      <c r="E41" s="174">
        <f t="shared" si="5"/>
        <v>3931.7599999999998</v>
      </c>
      <c r="F41" s="174">
        <f t="shared" si="0"/>
        <v>4521.523999999999</v>
      </c>
      <c r="G41" s="174">
        <f t="shared" si="1"/>
        <v>5425.828799999999</v>
      </c>
      <c r="H41" s="119" t="s">
        <v>15</v>
      </c>
      <c r="I41" s="124"/>
      <c r="J41" s="125"/>
      <c r="K41" s="112"/>
      <c r="L41" s="174"/>
      <c r="M41" s="174"/>
    </row>
    <row r="42" spans="1:13" ht="12.75">
      <c r="A42" s="105"/>
      <c r="B42" s="106"/>
      <c r="C42" s="121" t="s">
        <v>217</v>
      </c>
      <c r="D42" s="120"/>
      <c r="E42" s="174"/>
      <c r="F42" s="174">
        <f t="shared" si="0"/>
        <v>0</v>
      </c>
      <c r="G42" s="174"/>
      <c r="H42" s="119"/>
      <c r="I42" s="124"/>
      <c r="J42" s="125"/>
      <c r="K42" s="112"/>
      <c r="L42" s="174"/>
      <c r="M42" s="174"/>
    </row>
    <row r="43" spans="1:13" ht="12.75">
      <c r="A43" s="105"/>
      <c r="B43" s="106">
        <v>28</v>
      </c>
      <c r="C43" s="113" t="s">
        <v>215</v>
      </c>
      <c r="D43" s="120">
        <v>11056</v>
      </c>
      <c r="E43" s="174">
        <f>D43*1.18</f>
        <v>13046.08</v>
      </c>
      <c r="F43" s="174">
        <f t="shared" si="0"/>
        <v>15002.991999999998</v>
      </c>
      <c r="G43" s="174">
        <f t="shared" si="1"/>
        <v>18003.590399999997</v>
      </c>
      <c r="H43" s="119" t="s">
        <v>15</v>
      </c>
      <c r="I43" s="124"/>
      <c r="J43" s="125"/>
      <c r="K43" s="112"/>
      <c r="L43" s="174"/>
      <c r="M43" s="174"/>
    </row>
    <row r="44" spans="1:13" ht="12.75">
      <c r="A44" s="105"/>
      <c r="B44" s="106">
        <v>29</v>
      </c>
      <c r="C44" s="113" t="s">
        <v>200</v>
      </c>
      <c r="D44" s="120">
        <v>11363</v>
      </c>
      <c r="E44" s="174">
        <f>D44*1.18</f>
        <v>13408.34</v>
      </c>
      <c r="F44" s="174">
        <f t="shared" si="0"/>
        <v>15419.590999999999</v>
      </c>
      <c r="G44" s="174">
        <f t="shared" si="1"/>
        <v>18503.509199999997</v>
      </c>
      <c r="H44" s="119" t="s">
        <v>15</v>
      </c>
      <c r="I44" s="124"/>
      <c r="J44" s="125"/>
      <c r="K44" s="112"/>
      <c r="L44" s="174"/>
      <c r="M44" s="174"/>
    </row>
    <row r="45" spans="1:13" ht="12.75">
      <c r="A45" s="105"/>
      <c r="B45" s="106">
        <v>30</v>
      </c>
      <c r="C45" s="113" t="s">
        <v>218</v>
      </c>
      <c r="D45" s="120">
        <v>11813</v>
      </c>
      <c r="E45" s="174">
        <f>D45*1.18</f>
        <v>13939.34</v>
      </c>
      <c r="F45" s="174">
        <f t="shared" si="0"/>
        <v>16030.240999999998</v>
      </c>
      <c r="G45" s="174">
        <f t="shared" si="1"/>
        <v>19236.289199999996</v>
      </c>
      <c r="H45" s="119" t="s">
        <v>15</v>
      </c>
      <c r="I45" s="124"/>
      <c r="J45" s="125"/>
      <c r="K45" s="112"/>
      <c r="L45" s="174"/>
      <c r="M45" s="174"/>
    </row>
    <row r="46" spans="1:13" ht="12.75">
      <c r="A46" s="105"/>
      <c r="B46" s="106">
        <v>31</v>
      </c>
      <c r="C46" s="113" t="s">
        <v>207</v>
      </c>
      <c r="D46" s="123">
        <v>6098</v>
      </c>
      <c r="E46" s="174">
        <f>D46*1.18</f>
        <v>7195.639999999999</v>
      </c>
      <c r="F46" s="174">
        <f t="shared" si="0"/>
        <v>8274.985999999999</v>
      </c>
      <c r="G46" s="174">
        <f t="shared" si="1"/>
        <v>9929.983199999999</v>
      </c>
      <c r="H46" s="119" t="s">
        <v>15</v>
      </c>
      <c r="I46" s="124"/>
      <c r="J46" s="125"/>
      <c r="K46" s="112"/>
      <c r="L46" s="174"/>
      <c r="M46" s="174"/>
    </row>
    <row r="47" spans="1:13" ht="12.75">
      <c r="A47" s="105"/>
      <c r="B47" s="106">
        <v>32</v>
      </c>
      <c r="C47" s="113" t="s">
        <v>208</v>
      </c>
      <c r="D47" s="123">
        <v>6098</v>
      </c>
      <c r="E47" s="174">
        <f>D47*1.18</f>
        <v>7195.639999999999</v>
      </c>
      <c r="F47" s="174">
        <f t="shared" si="0"/>
        <v>8274.985999999999</v>
      </c>
      <c r="G47" s="174">
        <f t="shared" si="1"/>
        <v>9929.983199999999</v>
      </c>
      <c r="H47" s="119" t="s">
        <v>15</v>
      </c>
      <c r="I47" s="124"/>
      <c r="J47" s="125"/>
      <c r="K47" s="112"/>
      <c r="L47" s="174"/>
      <c r="M47" s="174"/>
    </row>
    <row r="48" spans="1:13" ht="12.75" customHeight="1">
      <c r="A48" s="105"/>
      <c r="B48" s="106"/>
      <c r="C48" s="126" t="s">
        <v>219</v>
      </c>
      <c r="D48" s="120"/>
      <c r="E48" s="174"/>
      <c r="F48" s="174"/>
      <c r="G48" s="174"/>
      <c r="H48" s="119"/>
      <c r="I48" s="124"/>
      <c r="J48" s="125"/>
      <c r="K48" s="112"/>
      <c r="L48" s="174"/>
      <c r="M48" s="174"/>
    </row>
    <row r="49" spans="1:13" ht="12.75">
      <c r="A49" s="105"/>
      <c r="B49" s="106">
        <v>33</v>
      </c>
      <c r="C49" s="113" t="s">
        <v>220</v>
      </c>
      <c r="D49" s="120">
        <v>656</v>
      </c>
      <c r="E49" s="174">
        <f>D49*1.18</f>
        <v>774.0799999999999</v>
      </c>
      <c r="F49" s="174">
        <f t="shared" si="0"/>
        <v>890.1919999999999</v>
      </c>
      <c r="G49" s="174">
        <f t="shared" si="1"/>
        <v>1068.2304</v>
      </c>
      <c r="H49" s="119" t="s">
        <v>15</v>
      </c>
      <c r="I49" s="124"/>
      <c r="J49" s="125"/>
      <c r="K49" s="112"/>
      <c r="L49" s="174"/>
      <c r="M49" s="174"/>
    </row>
    <row r="50" spans="1:13" ht="12.75">
      <c r="A50" s="105"/>
      <c r="B50" s="106">
        <v>34</v>
      </c>
      <c r="C50" s="113" t="s">
        <v>218</v>
      </c>
      <c r="D50" s="120">
        <v>1000</v>
      </c>
      <c r="E50" s="174">
        <f>D50*1.18</f>
        <v>1180</v>
      </c>
      <c r="F50" s="174">
        <f t="shared" si="0"/>
        <v>1357</v>
      </c>
      <c r="G50" s="174">
        <f t="shared" si="1"/>
        <v>1628.3999999999999</v>
      </c>
      <c r="H50" s="119" t="s">
        <v>15</v>
      </c>
      <c r="I50" s="124"/>
      <c r="J50" s="125"/>
      <c r="K50" s="112"/>
      <c r="L50" s="174"/>
      <c r="M50" s="174"/>
    </row>
    <row r="51" spans="1:13" ht="13.5" thickBot="1">
      <c r="A51" s="105">
        <v>21</v>
      </c>
      <c r="B51" s="106">
        <v>35</v>
      </c>
      <c r="C51" s="113" t="s">
        <v>221</v>
      </c>
      <c r="D51" s="120">
        <v>635</v>
      </c>
      <c r="E51" s="174">
        <f>D51*1.18</f>
        <v>749.3</v>
      </c>
      <c r="F51" s="174">
        <f t="shared" si="0"/>
        <v>861.6949999999999</v>
      </c>
      <c r="G51" s="174">
        <f t="shared" si="1"/>
        <v>1034.0339999999999</v>
      </c>
      <c r="H51" s="112" t="s">
        <v>15</v>
      </c>
      <c r="I51" s="127" t="s">
        <v>15</v>
      </c>
      <c r="J51" s="128">
        <f>ROUND(2300*1.18,0)</f>
        <v>2714</v>
      </c>
      <c r="K51" s="112"/>
      <c r="L51" s="174"/>
      <c r="M51" s="174"/>
    </row>
    <row r="52" spans="1:13" ht="31.5" customHeight="1">
      <c r="A52" s="129"/>
      <c r="B52" s="129"/>
      <c r="C52" s="170" t="s">
        <v>46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</row>
    <row r="53" spans="1:13" ht="6.75" customHeight="1">
      <c r="A53" s="129" t="s">
        <v>239</v>
      </c>
      <c r="B53" s="129"/>
      <c r="C53" s="319"/>
      <c r="D53" s="320"/>
      <c r="E53" s="320"/>
      <c r="F53" s="320"/>
      <c r="G53" s="320"/>
      <c r="H53" s="320"/>
      <c r="I53" s="130"/>
      <c r="J53" s="130"/>
      <c r="K53" s="130"/>
      <c r="L53" s="130"/>
      <c r="M53" s="130"/>
    </row>
    <row r="54" spans="1:22" ht="18.75" customHeight="1">
      <c r="A54" s="129"/>
      <c r="B54" s="129"/>
      <c r="C54" s="284" t="s">
        <v>268</v>
      </c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</row>
    <row r="55" spans="1:13" ht="26.25" customHeight="1">
      <c r="A55" s="130"/>
      <c r="B55" s="130"/>
      <c r="C55" s="319" t="s">
        <v>222</v>
      </c>
      <c r="D55" s="320"/>
      <c r="E55" s="320"/>
      <c r="F55" s="320"/>
      <c r="G55" s="320"/>
      <c r="H55" s="320"/>
      <c r="I55" s="130"/>
      <c r="J55" s="130"/>
      <c r="K55" s="130"/>
      <c r="L55" s="130"/>
      <c r="M55" s="130"/>
    </row>
    <row r="56" spans="1:13" ht="38.25" customHeight="1">
      <c r="A56" s="129"/>
      <c r="B56" s="129"/>
      <c r="C56" s="131" t="s">
        <v>240</v>
      </c>
      <c r="D56" s="130"/>
      <c r="E56" s="63"/>
      <c r="F56" s="63"/>
      <c r="G56" s="63"/>
      <c r="H56" s="63" t="s">
        <v>257</v>
      </c>
      <c r="I56" s="130"/>
      <c r="J56" s="130"/>
      <c r="K56" s="130"/>
      <c r="L56" s="130"/>
      <c r="M56" s="130"/>
    </row>
    <row r="57" spans="1:13" ht="12.75">
      <c r="A57" s="132"/>
      <c r="B57" s="132"/>
      <c r="C57" s="133"/>
      <c r="D57" s="134"/>
      <c r="E57" s="311"/>
      <c r="F57" s="311"/>
      <c r="G57" s="311"/>
      <c r="H57" s="311"/>
      <c r="I57" s="134"/>
      <c r="J57" s="134"/>
      <c r="K57" s="134"/>
      <c r="L57" s="134"/>
      <c r="M57" s="134"/>
    </row>
    <row r="58" spans="1:13" ht="12.75">
      <c r="A58" s="129"/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</sheetData>
  <sheetProtection/>
  <mergeCells count="12">
    <mergeCell ref="E1:H1"/>
    <mergeCell ref="E2:H2"/>
    <mergeCell ref="C53:H53"/>
    <mergeCell ref="E57:H57"/>
    <mergeCell ref="E6:H6"/>
    <mergeCell ref="A8:J8"/>
    <mergeCell ref="A9:J9"/>
    <mergeCell ref="A10:J10"/>
    <mergeCell ref="A11:C11"/>
    <mergeCell ref="I12:J12"/>
    <mergeCell ref="C54:V54"/>
    <mergeCell ref="C55:H55"/>
  </mergeCells>
  <printOptions/>
  <pageMargins left="0.7874015748031497" right="0.1968503937007874" top="0.4724409448818898" bottom="0.1968503937007874" header="0.511811023622047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9">
      <selection activeCell="F7" sqref="F7"/>
    </sheetView>
  </sheetViews>
  <sheetFormatPr defaultColWidth="9.140625" defaultRowHeight="12.75"/>
  <cols>
    <col min="1" max="1" width="8.140625" style="0" customWidth="1"/>
    <col min="2" max="2" width="38.57421875" style="0" customWidth="1"/>
    <col min="3" max="3" width="9.140625" style="0" hidden="1" customWidth="1"/>
    <col min="4" max="5" width="0.2890625" style="0" hidden="1" customWidth="1"/>
    <col min="6" max="6" width="35.421875" style="0" customWidth="1"/>
  </cols>
  <sheetData>
    <row r="1" spans="2:6" ht="15">
      <c r="B1" s="139"/>
      <c r="C1" s="139"/>
      <c r="D1" s="140" t="s">
        <v>0</v>
      </c>
      <c r="F1" s="42" t="s">
        <v>0</v>
      </c>
    </row>
    <row r="2" spans="2:6" ht="15">
      <c r="B2" s="139"/>
      <c r="C2" s="139"/>
      <c r="D2" s="140" t="s">
        <v>241</v>
      </c>
      <c r="F2" s="42" t="s">
        <v>241</v>
      </c>
    </row>
    <row r="3" spans="2:6" ht="26.25">
      <c r="B3" s="139"/>
      <c r="C3" s="139"/>
      <c r="D3" s="141" t="s">
        <v>251</v>
      </c>
      <c r="F3" s="201" t="s">
        <v>271</v>
      </c>
    </row>
    <row r="4" spans="2:6" ht="15">
      <c r="B4" s="139"/>
      <c r="C4" s="139"/>
      <c r="D4" s="139"/>
      <c r="E4" t="s">
        <v>264</v>
      </c>
      <c r="F4" s="42"/>
    </row>
    <row r="5" spans="2:6" ht="14.25">
      <c r="B5" s="322" t="s">
        <v>223</v>
      </c>
      <c r="C5" s="322"/>
      <c r="D5" s="322"/>
      <c r="F5" s="42" t="s">
        <v>310</v>
      </c>
    </row>
    <row r="6" spans="2:4" ht="14.25">
      <c r="B6" s="322" t="s">
        <v>224</v>
      </c>
      <c r="C6" s="322"/>
      <c r="D6" s="322"/>
    </row>
    <row r="7" spans="2:4" ht="14.25">
      <c r="B7" s="322" t="s">
        <v>311</v>
      </c>
      <c r="C7" s="322"/>
      <c r="D7" s="322"/>
    </row>
    <row r="8" spans="2:4" ht="14.25">
      <c r="B8" s="243"/>
      <c r="C8" s="243"/>
      <c r="D8" s="243"/>
    </row>
    <row r="9" spans="1:6" ht="55.5" customHeight="1">
      <c r="A9" s="186" t="s">
        <v>269</v>
      </c>
      <c r="B9" s="142" t="s">
        <v>225</v>
      </c>
      <c r="C9" s="142" t="s">
        <v>226</v>
      </c>
      <c r="F9" s="142" t="s">
        <v>256</v>
      </c>
    </row>
    <row r="10" spans="1:6" ht="15">
      <c r="A10" s="192">
        <v>1</v>
      </c>
      <c r="B10" s="143" t="s">
        <v>227</v>
      </c>
      <c r="C10" s="144">
        <v>920</v>
      </c>
      <c r="D10" s="175">
        <f aca="true" t="shared" si="0" ref="D10:D21">C10*1.18</f>
        <v>1085.6</v>
      </c>
      <c r="E10" s="185">
        <f aca="true" t="shared" si="1" ref="E10:E21">D10*1.15</f>
        <v>1248.4399999999998</v>
      </c>
      <c r="F10" s="244">
        <f>E10*1.2</f>
        <v>1498.1279999999997</v>
      </c>
    </row>
    <row r="11" spans="1:6" ht="15">
      <c r="A11" s="192">
        <v>2</v>
      </c>
      <c r="B11" s="143" t="s">
        <v>228</v>
      </c>
      <c r="C11" s="144">
        <v>980</v>
      </c>
      <c r="D11" s="175">
        <f t="shared" si="0"/>
        <v>1156.3999999999999</v>
      </c>
      <c r="E11" s="185">
        <f t="shared" si="1"/>
        <v>1329.8599999999997</v>
      </c>
      <c r="F11" s="244">
        <f aca="true" t="shared" si="2" ref="F11:F21">E11*1.2</f>
        <v>1595.8319999999997</v>
      </c>
    </row>
    <row r="12" spans="1:6" ht="15">
      <c r="A12" s="192">
        <v>3</v>
      </c>
      <c r="B12" s="143" t="s">
        <v>208</v>
      </c>
      <c r="C12" s="144">
        <v>1630</v>
      </c>
      <c r="D12" s="175">
        <f t="shared" si="0"/>
        <v>1923.3999999999999</v>
      </c>
      <c r="E12" s="185">
        <f t="shared" si="1"/>
        <v>2211.91</v>
      </c>
      <c r="F12" s="244">
        <f t="shared" si="2"/>
        <v>2654.292</v>
      </c>
    </row>
    <row r="13" spans="1:6" ht="15">
      <c r="A13" s="192">
        <v>4</v>
      </c>
      <c r="B13" s="143" t="s">
        <v>199</v>
      </c>
      <c r="C13" s="144">
        <v>1730</v>
      </c>
      <c r="D13" s="175">
        <f t="shared" si="0"/>
        <v>2041.3999999999999</v>
      </c>
      <c r="E13" s="185">
        <f t="shared" si="1"/>
        <v>2347.6099999999997</v>
      </c>
      <c r="F13" s="244">
        <f t="shared" si="2"/>
        <v>2817.1319999999996</v>
      </c>
    </row>
    <row r="14" spans="1:6" ht="15">
      <c r="A14" s="192">
        <v>5</v>
      </c>
      <c r="B14" s="143" t="s">
        <v>207</v>
      </c>
      <c r="C14" s="144">
        <v>1770</v>
      </c>
      <c r="D14" s="175">
        <f t="shared" si="0"/>
        <v>2088.6</v>
      </c>
      <c r="E14" s="185">
        <f t="shared" si="1"/>
        <v>2401.89</v>
      </c>
      <c r="F14" s="244">
        <f t="shared" si="2"/>
        <v>2882.2679999999996</v>
      </c>
    </row>
    <row r="15" spans="1:6" ht="15">
      <c r="A15" s="192">
        <v>6</v>
      </c>
      <c r="B15" s="143" t="s">
        <v>229</v>
      </c>
      <c r="C15" s="144">
        <v>1850</v>
      </c>
      <c r="D15" s="175">
        <f t="shared" si="0"/>
        <v>2183</v>
      </c>
      <c r="E15" s="185">
        <f t="shared" si="1"/>
        <v>2510.45</v>
      </c>
      <c r="F15" s="244">
        <f t="shared" si="2"/>
        <v>3012.5399999999995</v>
      </c>
    </row>
    <row r="16" spans="1:6" ht="15">
      <c r="A16" s="192">
        <v>7</v>
      </c>
      <c r="B16" s="143" t="s">
        <v>230</v>
      </c>
      <c r="C16" s="144">
        <v>1980</v>
      </c>
      <c r="D16" s="175">
        <f t="shared" si="0"/>
        <v>2336.4</v>
      </c>
      <c r="E16" s="185">
        <f t="shared" si="1"/>
        <v>2686.8599999999997</v>
      </c>
      <c r="F16" s="244">
        <f t="shared" si="2"/>
        <v>3224.2319999999995</v>
      </c>
    </row>
    <row r="17" spans="1:6" ht="15">
      <c r="A17" s="192">
        <v>8</v>
      </c>
      <c r="B17" s="143" t="s">
        <v>231</v>
      </c>
      <c r="C17" s="144">
        <v>2120</v>
      </c>
      <c r="D17" s="175">
        <f t="shared" si="0"/>
        <v>2501.6</v>
      </c>
      <c r="E17" s="185">
        <f t="shared" si="1"/>
        <v>2876.8399999999997</v>
      </c>
      <c r="F17" s="244">
        <f t="shared" si="2"/>
        <v>3452.2079999999996</v>
      </c>
    </row>
    <row r="18" spans="1:6" ht="15">
      <c r="A18" s="192">
        <v>9</v>
      </c>
      <c r="B18" s="143" t="s">
        <v>203</v>
      </c>
      <c r="C18" s="144">
        <v>2770</v>
      </c>
      <c r="D18" s="175">
        <f t="shared" si="0"/>
        <v>3268.6</v>
      </c>
      <c r="E18" s="185">
        <f t="shared" si="1"/>
        <v>3758.8899999999994</v>
      </c>
      <c r="F18" s="244">
        <f t="shared" si="2"/>
        <v>4510.667999999999</v>
      </c>
    </row>
    <row r="19" spans="1:6" ht="15">
      <c r="A19" s="192">
        <v>10</v>
      </c>
      <c r="B19" s="143" t="s">
        <v>202</v>
      </c>
      <c r="C19" s="144">
        <v>2920</v>
      </c>
      <c r="D19" s="175">
        <f t="shared" si="0"/>
        <v>3445.6</v>
      </c>
      <c r="E19" s="185">
        <f t="shared" si="1"/>
        <v>3962.4399999999996</v>
      </c>
      <c r="F19" s="244">
        <f t="shared" si="2"/>
        <v>4754.927999999999</v>
      </c>
    </row>
    <row r="20" spans="1:6" ht="15">
      <c r="A20" s="192">
        <v>11</v>
      </c>
      <c r="B20" s="143" t="s">
        <v>232</v>
      </c>
      <c r="C20" s="144">
        <v>3000</v>
      </c>
      <c r="D20" s="175">
        <f t="shared" si="0"/>
        <v>3540</v>
      </c>
      <c r="E20" s="185">
        <f t="shared" si="1"/>
        <v>4070.9999999999995</v>
      </c>
      <c r="F20" s="244">
        <f t="shared" si="2"/>
        <v>4885.199999999999</v>
      </c>
    </row>
    <row r="21" spans="1:6" ht="15">
      <c r="A21" s="192">
        <v>12</v>
      </c>
      <c r="B21" s="143" t="s">
        <v>204</v>
      </c>
      <c r="C21" s="144">
        <v>3060</v>
      </c>
      <c r="D21" s="175">
        <f t="shared" si="0"/>
        <v>3610.7999999999997</v>
      </c>
      <c r="E21" s="185">
        <f t="shared" si="1"/>
        <v>4152.419999999999</v>
      </c>
      <c r="F21" s="244">
        <f t="shared" si="2"/>
        <v>4982.903999999999</v>
      </c>
    </row>
    <row r="22" spans="2:4" ht="15">
      <c r="B22" s="139"/>
      <c r="C22" s="139"/>
      <c r="D22" s="139"/>
    </row>
    <row r="23" spans="2:4" ht="15">
      <c r="B23" s="139"/>
      <c r="C23" s="139"/>
      <c r="D23" s="139"/>
    </row>
    <row r="24" spans="2:4" ht="15">
      <c r="B24" s="145" t="s">
        <v>46</v>
      </c>
      <c r="C24" s="145"/>
      <c r="D24" s="139"/>
    </row>
    <row r="25" spans="2:4" ht="15">
      <c r="B25" s="139"/>
      <c r="C25" s="139"/>
      <c r="D25" s="139"/>
    </row>
    <row r="26" spans="2:4" ht="15">
      <c r="B26" s="321" t="s">
        <v>233</v>
      </c>
      <c r="C26" s="321"/>
      <c r="D26" s="321"/>
    </row>
    <row r="27" spans="2:4" ht="15">
      <c r="B27" s="321" t="s">
        <v>234</v>
      </c>
      <c r="C27" s="321"/>
      <c r="D27" s="321"/>
    </row>
    <row r="28" spans="2:4" ht="30">
      <c r="B28" s="146" t="s">
        <v>235</v>
      </c>
      <c r="C28" s="146"/>
      <c r="D28" s="139"/>
    </row>
    <row r="29" spans="2:4" ht="15">
      <c r="B29" s="139"/>
      <c r="C29" s="139"/>
      <c r="D29" s="139"/>
    </row>
    <row r="30" spans="2:4" ht="15">
      <c r="B30" s="139"/>
      <c r="C30" s="139"/>
      <c r="D30" s="139"/>
    </row>
    <row r="31" spans="2:4" ht="15.75">
      <c r="B31" s="135"/>
      <c r="C31" s="135"/>
      <c r="D31" s="135"/>
    </row>
    <row r="32" spans="2:6" ht="43.5" customHeight="1">
      <c r="B32" s="135" t="s">
        <v>74</v>
      </c>
      <c r="C32" s="136"/>
      <c r="D32" s="136" t="s">
        <v>248</v>
      </c>
      <c r="E32" s="63" t="s">
        <v>257</v>
      </c>
      <c r="F32" t="s">
        <v>257</v>
      </c>
    </row>
    <row r="33" spans="2:4" ht="15.75">
      <c r="B33" s="135"/>
      <c r="C33" s="135"/>
      <c r="D33" s="135"/>
    </row>
  </sheetData>
  <sheetProtection/>
  <mergeCells count="5">
    <mergeCell ref="B27:D27"/>
    <mergeCell ref="B5:D5"/>
    <mergeCell ref="B6:D6"/>
    <mergeCell ref="B7:D7"/>
    <mergeCell ref="B26:D26"/>
  </mergeCells>
  <printOptions/>
  <pageMargins left="0.7874015748031497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B1">
      <selection activeCell="C10" sqref="C10:H10"/>
    </sheetView>
  </sheetViews>
  <sheetFormatPr defaultColWidth="9.140625" defaultRowHeight="12.75"/>
  <cols>
    <col min="1" max="1" width="0" style="0" hidden="1" customWidth="1"/>
    <col min="2" max="2" width="6.00390625" style="0" customWidth="1"/>
    <col min="3" max="3" width="31.7109375" style="0" customWidth="1"/>
    <col min="4" max="4" width="9.140625" style="0" hidden="1" customWidth="1"/>
    <col min="5" max="5" width="0.13671875" style="0" hidden="1" customWidth="1"/>
    <col min="6" max="6" width="16.00390625" style="0" hidden="1" customWidth="1"/>
    <col min="7" max="7" width="17.28125" style="0" customWidth="1"/>
    <col min="8" max="8" width="15.421875" style="0" customWidth="1"/>
    <col min="9" max="10" width="0" style="0" hidden="1" customWidth="1"/>
    <col min="11" max="11" width="0.13671875" style="0" customWidth="1"/>
    <col min="12" max="12" width="0.2890625" style="0" hidden="1" customWidth="1"/>
    <col min="13" max="13" width="11.8515625" style="0" customWidth="1"/>
  </cols>
  <sheetData>
    <row r="1" spans="1:13" ht="12.75">
      <c r="A1" s="98"/>
      <c r="B1" s="98"/>
      <c r="C1" s="99"/>
      <c r="D1" s="137"/>
      <c r="E1" s="275" t="s">
        <v>0</v>
      </c>
      <c r="F1" s="275"/>
      <c r="G1" s="275"/>
      <c r="H1" s="306"/>
      <c r="I1" s="138" t="s">
        <v>75</v>
      </c>
      <c r="J1" s="99"/>
      <c r="K1" s="99"/>
      <c r="L1" s="99"/>
      <c r="M1" s="99"/>
    </row>
    <row r="2" spans="1:13" ht="12.75">
      <c r="A2" s="98"/>
      <c r="B2" s="98"/>
      <c r="C2" s="99"/>
      <c r="D2" s="137"/>
      <c r="E2" s="275" t="s">
        <v>241</v>
      </c>
      <c r="F2" s="275"/>
      <c r="G2" s="275"/>
      <c r="H2" s="306"/>
      <c r="I2" s="41"/>
      <c r="J2" s="41"/>
      <c r="K2" s="41"/>
      <c r="L2" s="41"/>
      <c r="M2" s="41"/>
    </row>
    <row r="3" spans="1:13" ht="15.75" customHeight="1">
      <c r="A3" s="98"/>
      <c r="B3" s="98"/>
      <c r="C3" s="99"/>
      <c r="D3" s="137"/>
      <c r="E3" s="196" t="s">
        <v>242</v>
      </c>
      <c r="F3" s="196"/>
      <c r="G3" s="196" t="s">
        <v>272</v>
      </c>
      <c r="H3" s="196"/>
      <c r="I3" s="138" t="s">
        <v>50</v>
      </c>
      <c r="J3" s="99"/>
      <c r="K3" s="99"/>
      <c r="L3" s="99"/>
      <c r="M3" s="99"/>
    </row>
    <row r="4" spans="1:13" ht="15.75" customHeight="1">
      <c r="A4" s="98"/>
      <c r="B4" s="98"/>
      <c r="C4" s="99"/>
      <c r="D4" s="137"/>
      <c r="E4" s="45"/>
      <c r="F4" s="45"/>
      <c r="G4" s="40" t="s">
        <v>254</v>
      </c>
      <c r="I4" s="138" t="s">
        <v>236</v>
      </c>
      <c r="J4" s="99"/>
      <c r="K4" s="99"/>
      <c r="L4" s="99"/>
      <c r="M4" s="99"/>
    </row>
    <row r="5" spans="1:13" ht="15" customHeight="1">
      <c r="A5" s="98"/>
      <c r="B5" s="98"/>
      <c r="C5" s="99"/>
      <c r="D5" s="137"/>
      <c r="E5" s="45"/>
      <c r="F5" s="45"/>
      <c r="G5" s="45"/>
      <c r="H5" s="45" t="s">
        <v>320</v>
      </c>
      <c r="I5" s="138" t="s">
        <v>237</v>
      </c>
      <c r="J5" s="99"/>
      <c r="K5" s="99"/>
      <c r="L5" s="99"/>
      <c r="M5" s="99"/>
    </row>
    <row r="6" spans="1:13" ht="6" customHeight="1">
      <c r="A6" s="98"/>
      <c r="B6" s="98"/>
      <c r="C6" s="99"/>
      <c r="D6" s="99"/>
      <c r="E6" s="312"/>
      <c r="F6" s="312"/>
      <c r="G6" s="312"/>
      <c r="H6" s="313"/>
      <c r="I6" s="99"/>
      <c r="J6" s="99"/>
      <c r="K6" s="99"/>
      <c r="L6" s="99"/>
      <c r="M6" s="99"/>
    </row>
    <row r="7" spans="1:13" ht="12.75" hidden="1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5.75" customHeight="1">
      <c r="A8" s="314" t="s">
        <v>2</v>
      </c>
      <c r="B8" s="314"/>
      <c r="C8" s="314"/>
      <c r="D8" s="314"/>
      <c r="E8" s="314"/>
      <c r="F8" s="314"/>
      <c r="G8" s="314"/>
      <c r="H8" s="314"/>
      <c r="I8" s="314"/>
      <c r="J8" s="314"/>
      <c r="K8" s="181"/>
      <c r="L8" s="181"/>
      <c r="M8" s="181"/>
    </row>
    <row r="9" spans="1:13" ht="30" customHeight="1">
      <c r="A9" s="314" t="s">
        <v>286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</row>
    <row r="10" spans="1:13" ht="30" customHeight="1">
      <c r="A10" s="181"/>
      <c r="B10" s="181"/>
      <c r="C10" s="314" t="s">
        <v>283</v>
      </c>
      <c r="D10" s="314"/>
      <c r="E10" s="314"/>
      <c r="F10" s="314"/>
      <c r="G10" s="314"/>
      <c r="H10" s="314"/>
      <c r="I10" s="181"/>
      <c r="J10" s="181"/>
      <c r="K10" s="181"/>
      <c r="L10" s="181"/>
      <c r="M10" s="181"/>
    </row>
    <row r="11" spans="1:13" ht="15" customHeight="1">
      <c r="A11" s="315" t="s">
        <v>319</v>
      </c>
      <c r="B11" s="315"/>
      <c r="C11" s="315"/>
      <c r="D11" s="315"/>
      <c r="E11" s="315"/>
      <c r="F11" s="315"/>
      <c r="G11" s="315"/>
      <c r="H11" s="315"/>
      <c r="I11" s="315"/>
      <c r="J11" s="315"/>
      <c r="K11" s="182"/>
      <c r="L11" s="182"/>
      <c r="M11" s="182"/>
    </row>
    <row r="12" spans="1:13" ht="9.75" customHeight="1">
      <c r="A12" s="316"/>
      <c r="B12" s="316"/>
      <c r="C12" s="316"/>
      <c r="D12" s="100"/>
      <c r="E12" s="101">
        <v>1.18</v>
      </c>
      <c r="F12" s="101"/>
      <c r="G12" s="101"/>
      <c r="H12" s="100"/>
      <c r="I12" s="100"/>
      <c r="J12" s="100"/>
      <c r="K12" s="100"/>
      <c r="L12" s="100"/>
      <c r="M12" s="100"/>
    </row>
    <row r="13" spans="1:13" ht="48" customHeight="1">
      <c r="A13" s="102" t="s">
        <v>5</v>
      </c>
      <c r="B13" s="103" t="s">
        <v>5</v>
      </c>
      <c r="C13" s="104" t="s">
        <v>196</v>
      </c>
      <c r="D13" s="102" t="s">
        <v>197</v>
      </c>
      <c r="E13" s="102" t="s">
        <v>255</v>
      </c>
      <c r="F13" s="102" t="s">
        <v>255</v>
      </c>
      <c r="G13" s="102" t="s">
        <v>278</v>
      </c>
      <c r="H13" s="225"/>
      <c r="I13" s="327"/>
      <c r="J13" s="327"/>
      <c r="K13" s="225"/>
      <c r="L13" s="226"/>
      <c r="M13" s="225"/>
    </row>
    <row r="14" spans="1:13" ht="38.25" customHeight="1">
      <c r="A14" s="105"/>
      <c r="B14" s="224">
        <v>1</v>
      </c>
      <c r="C14" s="271" t="s">
        <v>284</v>
      </c>
      <c r="D14" s="272"/>
      <c r="E14" s="205"/>
      <c r="F14" s="206">
        <v>1068</v>
      </c>
      <c r="G14" s="227">
        <v>8822</v>
      </c>
      <c r="H14" s="216"/>
      <c r="I14" s="217"/>
      <c r="J14" s="216"/>
      <c r="K14" s="216"/>
      <c r="L14" s="218"/>
      <c r="M14" s="218"/>
    </row>
    <row r="15" spans="1:13" ht="27" customHeight="1">
      <c r="A15" s="105">
        <v>1</v>
      </c>
      <c r="B15" s="224">
        <v>2</v>
      </c>
      <c r="C15" s="271" t="s">
        <v>285</v>
      </c>
      <c r="D15" s="272"/>
      <c r="E15" s="207"/>
      <c r="F15" s="206"/>
      <c r="G15" s="227">
        <v>1130</v>
      </c>
      <c r="H15" s="216"/>
      <c r="I15" s="216"/>
      <c r="J15" s="216"/>
      <c r="K15" s="216"/>
      <c r="L15" s="219"/>
      <c r="M15" s="219"/>
    </row>
    <row r="16" spans="1:13" ht="25.5">
      <c r="A16" s="105">
        <v>2</v>
      </c>
      <c r="B16" s="224">
        <v>3</v>
      </c>
      <c r="C16" s="203" t="s">
        <v>288</v>
      </c>
      <c r="D16" s="204"/>
      <c r="E16" s="207"/>
      <c r="F16" s="206"/>
      <c r="G16" s="227">
        <v>17300</v>
      </c>
      <c r="H16" s="216"/>
      <c r="I16" s="216"/>
      <c r="J16" s="216"/>
      <c r="K16" s="216"/>
      <c r="L16" s="219"/>
      <c r="M16" s="219"/>
    </row>
    <row r="17" spans="1:13" ht="15.75">
      <c r="A17" s="105">
        <v>3</v>
      </c>
      <c r="B17" s="224"/>
      <c r="C17" s="323"/>
      <c r="D17" s="324"/>
      <c r="E17" s="207"/>
      <c r="F17" s="208"/>
      <c r="G17" s="228"/>
      <c r="H17" s="216"/>
      <c r="I17" s="216"/>
      <c r="J17" s="216"/>
      <c r="K17" s="216"/>
      <c r="L17" s="219"/>
      <c r="M17" s="219"/>
    </row>
    <row r="18" spans="1:13" ht="12.75">
      <c r="A18" s="105">
        <v>6</v>
      </c>
      <c r="B18" s="224"/>
      <c r="C18" s="212"/>
      <c r="D18" s="204"/>
      <c r="E18" s="210"/>
      <c r="F18" s="211"/>
      <c r="G18" s="229"/>
      <c r="H18" s="216"/>
      <c r="I18" s="216"/>
      <c r="J18" s="216"/>
      <c r="K18" s="216"/>
      <c r="L18" s="219"/>
      <c r="M18" s="219"/>
    </row>
    <row r="19" spans="1:13" ht="15.75">
      <c r="A19" s="105">
        <v>7</v>
      </c>
      <c r="B19" s="224"/>
      <c r="C19" s="212"/>
      <c r="D19" s="204"/>
      <c r="E19" s="210"/>
      <c r="F19" s="211"/>
      <c r="G19" s="230"/>
      <c r="H19" s="216"/>
      <c r="I19" s="216"/>
      <c r="J19" s="216"/>
      <c r="K19" s="216"/>
      <c r="L19" s="219"/>
      <c r="M19" s="219"/>
    </row>
    <row r="20" spans="1:13" ht="12.75">
      <c r="A20" s="116"/>
      <c r="B20" s="224"/>
      <c r="C20" s="212"/>
      <c r="D20" s="204"/>
      <c r="E20" s="210"/>
      <c r="F20" s="211"/>
      <c r="G20" s="229"/>
      <c r="H20" s="220"/>
      <c r="I20" s="217"/>
      <c r="J20" s="217"/>
      <c r="K20" s="217"/>
      <c r="L20" s="219"/>
      <c r="M20" s="219"/>
    </row>
    <row r="21" spans="1:13" ht="15.75">
      <c r="A21" s="105">
        <v>8</v>
      </c>
      <c r="B21" s="224"/>
      <c r="C21" s="212"/>
      <c r="D21" s="204"/>
      <c r="E21" s="210"/>
      <c r="F21" s="211"/>
      <c r="G21" s="230"/>
      <c r="H21" s="221"/>
      <c r="I21" s="216"/>
      <c r="J21" s="216"/>
      <c r="K21" s="216"/>
      <c r="L21" s="219"/>
      <c r="M21" s="219"/>
    </row>
    <row r="22" spans="1:13" ht="12.75">
      <c r="A22" s="105">
        <v>9</v>
      </c>
      <c r="B22" s="224"/>
      <c r="C22" s="213"/>
      <c r="D22" s="204"/>
      <c r="E22" s="210"/>
      <c r="F22" s="211"/>
      <c r="G22" s="231"/>
      <c r="H22" s="221"/>
      <c r="I22" s="216"/>
      <c r="J22" s="216"/>
      <c r="K22" s="216"/>
      <c r="L22" s="219"/>
      <c r="M22" s="219"/>
    </row>
    <row r="23" spans="1:13" ht="18">
      <c r="A23" s="105">
        <v>10</v>
      </c>
      <c r="B23" s="224"/>
      <c r="C23" s="325"/>
      <c r="D23" s="326"/>
      <c r="E23" s="214"/>
      <c r="F23" s="215"/>
      <c r="G23" s="232"/>
      <c r="H23" s="221"/>
      <c r="I23" s="216"/>
      <c r="J23" s="216"/>
      <c r="K23" s="216"/>
      <c r="L23" s="219"/>
      <c r="M23" s="219"/>
    </row>
    <row r="24" spans="1:13" ht="12.75">
      <c r="A24" s="105">
        <v>11</v>
      </c>
      <c r="B24" s="106"/>
      <c r="C24" s="113"/>
      <c r="D24" s="120"/>
      <c r="E24" s="174"/>
      <c r="F24" s="174"/>
      <c r="G24" s="233"/>
      <c r="H24" s="221"/>
      <c r="I24" s="216"/>
      <c r="J24" s="216"/>
      <c r="K24" s="216"/>
      <c r="L24" s="219"/>
      <c r="M24" s="219"/>
    </row>
    <row r="25" spans="1:13" ht="31.5" customHeight="1">
      <c r="A25" s="129"/>
      <c r="B25" s="129"/>
      <c r="C25" s="170" t="s">
        <v>46</v>
      </c>
      <c r="D25" s="130"/>
      <c r="E25" s="130"/>
      <c r="F25" s="130"/>
      <c r="G25" s="130"/>
      <c r="H25" s="222"/>
      <c r="I25" s="222"/>
      <c r="J25" s="222"/>
      <c r="K25" s="222"/>
      <c r="L25" s="222"/>
      <c r="M25" s="222"/>
    </row>
    <row r="26" spans="1:13" ht="6.75" customHeight="1">
      <c r="A26" s="129" t="s">
        <v>239</v>
      </c>
      <c r="B26" s="129"/>
      <c r="C26" s="319"/>
      <c r="D26" s="320"/>
      <c r="E26" s="320"/>
      <c r="F26" s="320"/>
      <c r="G26" s="320"/>
      <c r="H26" s="320"/>
      <c r="I26" s="130"/>
      <c r="J26" s="130"/>
      <c r="K26" s="130"/>
      <c r="L26" s="130"/>
      <c r="M26" s="130"/>
    </row>
    <row r="27" spans="1:22" ht="18.75" customHeight="1">
      <c r="A27" s="129"/>
      <c r="B27" s="129"/>
      <c r="C27" s="284" t="s">
        <v>268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</row>
    <row r="28" spans="1:13" ht="26.25" customHeight="1">
      <c r="A28" s="130"/>
      <c r="B28" s="130"/>
      <c r="C28" s="319" t="s">
        <v>222</v>
      </c>
      <c r="D28" s="320"/>
      <c r="E28" s="320"/>
      <c r="F28" s="320"/>
      <c r="G28" s="320"/>
      <c r="H28" s="320"/>
      <c r="I28" s="130"/>
      <c r="J28" s="130"/>
      <c r="K28" s="130"/>
      <c r="L28" s="130"/>
      <c r="M28" s="130"/>
    </row>
    <row r="29" spans="1:13" ht="38.25" customHeight="1">
      <c r="A29" s="129"/>
      <c r="B29" s="129"/>
      <c r="C29" s="131" t="s">
        <v>240</v>
      </c>
      <c r="D29" s="130"/>
      <c r="E29" s="63"/>
      <c r="F29" s="63"/>
      <c r="G29" s="63"/>
      <c r="H29" s="63" t="s">
        <v>257</v>
      </c>
      <c r="I29" s="130"/>
      <c r="J29" s="130"/>
      <c r="K29" s="130"/>
      <c r="L29" s="130"/>
      <c r="M29" s="130"/>
    </row>
    <row r="30" spans="1:13" ht="12.75">
      <c r="A30" s="132"/>
      <c r="B30" s="132"/>
      <c r="C30" s="133"/>
      <c r="D30" s="134"/>
      <c r="E30" s="311"/>
      <c r="F30" s="311"/>
      <c r="G30" s="311"/>
      <c r="H30" s="311"/>
      <c r="I30" s="134"/>
      <c r="J30" s="134"/>
      <c r="K30" s="134"/>
      <c r="L30" s="134"/>
      <c r="M30" s="134"/>
    </row>
    <row r="31" spans="1:13" ht="12.75">
      <c r="A31" s="129"/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</sheetData>
  <sheetProtection/>
  <mergeCells count="17">
    <mergeCell ref="E30:H30"/>
    <mergeCell ref="E6:H6"/>
    <mergeCell ref="A8:J8"/>
    <mergeCell ref="A11:J11"/>
    <mergeCell ref="A12:C12"/>
    <mergeCell ref="I13:J13"/>
    <mergeCell ref="C27:V27"/>
    <mergeCell ref="C28:H28"/>
    <mergeCell ref="C10:H10"/>
    <mergeCell ref="E1:H1"/>
    <mergeCell ref="E2:H2"/>
    <mergeCell ref="C26:H26"/>
    <mergeCell ref="C14:D14"/>
    <mergeCell ref="C15:D15"/>
    <mergeCell ref="C17:D17"/>
    <mergeCell ref="C23:D23"/>
    <mergeCell ref="A9:M9"/>
  </mergeCells>
  <printOptions/>
  <pageMargins left="0.7874015748031497" right="0.1968503937007874" top="0.4724409448818898" bottom="0.1968503937007874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Alexander</cp:lastModifiedBy>
  <cp:lastPrinted>2014-12-04T13:24:38Z</cp:lastPrinted>
  <dcterms:created xsi:type="dcterms:W3CDTF">1996-10-08T23:32:33Z</dcterms:created>
  <dcterms:modified xsi:type="dcterms:W3CDTF">2017-04-06T12:59:54Z</dcterms:modified>
  <cp:category/>
  <cp:version/>
  <cp:contentType/>
  <cp:contentStatus/>
</cp:coreProperties>
</file>